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codeName="ThisWorkbook"/>
  <mc:AlternateContent xmlns:mc="http://schemas.openxmlformats.org/markup-compatibility/2006">
    <mc:Choice Requires="x15">
      <x15ac:absPath xmlns:x15ac="http://schemas.microsoft.com/office/spreadsheetml/2010/11/ac" url="https://netorgft1752131.sharepoint.com/sites/ADI/Shared Documents/adrshare/ADI Business Solutions Client Files/EV HIGH-Legacy Ed Group/Budgets/FY24 Budget/Revised/"/>
    </mc:Choice>
  </mc:AlternateContent>
  <xr:revisionPtr revIDLastSave="162" documentId="13_ncr:1_{128E6605-50FA-406A-B2F4-C70C9EACF584}" xr6:coauthVersionLast="47" xr6:coauthVersionMax="47" xr10:uidLastSave="{26D4CBAB-4921-4454-B862-E0F98A8AB925}"/>
  <workbookProtection workbookAlgorithmName="SHA-512" workbookHashValue="UL8NifVzDg11QMlF0ll7YJar4/y1qkjNjoCli6iN507GB1CeHbv/jLicAZeEyY2Fc9/rSB1PRwPY6IlSeQcRQA==" workbookSaltValue="qpmKISd9t0agNyJHlGYl9A==" workbookSpinCount="100000" lockStructure="1"/>
  <bookViews>
    <workbookView xWindow="-2670" yWindow="75" windowWidth="27060" windowHeight="14655" tabRatio="690" activeTab="1" xr2:uid="{00000000-000D-0000-FFFF-FFFF00000000}"/>
  </bookViews>
  <sheets>
    <sheet name="Cover" sheetId="1" r:id="rId1"/>
    <sheet name="Charter Contacts" sheetId="14" r:id="rId2"/>
    <sheet name="Page 1" sheetId="2" r:id="rId3"/>
    <sheet name="Page 2" sheetId="3" r:id="rId4"/>
    <sheet name="Page 3" sheetId="9" r:id="rId5"/>
    <sheet name="Page 4" sheetId="11" r:id="rId6"/>
    <sheet name="Budget Summary" sheetId="12" r:id="rId7"/>
    <sheet name="Data Entry" sheetId="18" r:id="rId8"/>
    <sheet name="Calculations" sheetId="16" r:id="rId9"/>
    <sheet name="BSA55" sheetId="21" r:id="rId10"/>
    <sheet name="Instructions" sheetId="13" r:id="rId11"/>
  </sheets>
  <externalReferences>
    <externalReference r:id="rId12"/>
  </externalReferences>
  <definedNames>
    <definedName name="_CSP1000">'Page 3'!$K$8</definedName>
    <definedName name="_CSP2100">'Page 3'!$K$9</definedName>
    <definedName name="_CSP2200">'Page 3'!$K$10</definedName>
    <definedName name="_CSP2300">'Page 3'!$K$11</definedName>
    <definedName name="_CSP3300">'Page 3'!$K$12</definedName>
    <definedName name="_Order1" hidden="1">255</definedName>
    <definedName name="ActAuditExpend">'Data Entry'!$C$74</definedName>
    <definedName name="AdditionalTeacherSalaryIncreaseCover" localSheetId="9">Incr200Days</definedName>
    <definedName name="AOIFTStudCnt912CY">'Data Entry'!$L$18</definedName>
    <definedName name="AOIFTStudCntDD.ED.MIID.SLD.SLI.OHI">'Data Entry'!$J$48</definedName>
    <definedName name="AOIFTStudCntEDP">'Data Entry'!$J$49</definedName>
    <definedName name="AOIFTStudCntELL">'Data Entry'!$J$40</definedName>
    <definedName name="AOIFTStudCntFRPL">'Data Entry'!$J$53</definedName>
    <definedName name="AOIFTStudCntG">'Data Entry'!$J$52</definedName>
    <definedName name="AOIFTStudCntHI">'Data Entry'!$J$41</definedName>
    <definedName name="AOIFTStudCntK3">'Data Entry'!$J$39</definedName>
    <definedName name="AOIFTStudCntK3Read">'Data Entry'!$J$38</definedName>
    <definedName name="AOIFTStudCntK8CY">'Data Entry'!$I$18</definedName>
    <definedName name="AOIFTStudCntMDR.AR.SIDR">'Data Entry'!$J$42</definedName>
    <definedName name="AOIFTStudCntMDSC.ASC.SIDSC">'Data Entry'!$J$43</definedName>
    <definedName name="AOIFTStudCntMDSSI">'Data Entry'!$J$44</definedName>
    <definedName name="AOIFTStudCntMOID">'Data Entry'!$J$50</definedName>
    <definedName name="AOIFTStudCntOIR">'Data Entry'!$J$45</definedName>
    <definedName name="AOIFTStudCntOISC">'Data Entry'!$J$46</definedName>
    <definedName name="AOIFTStudCntP.SD">'Data Entry'!$J$47</definedName>
    <definedName name="AOIFTStudCntVI">'Data Entry'!$J$51</definedName>
    <definedName name="AOIPTStudCnt912CY">'Data Entry'!$L$19</definedName>
    <definedName name="AOIPTStudCntDD.ED.MIID.SLD.SLI.OHI">'Data Entry'!$K$48</definedName>
    <definedName name="AOIPTStudCntEDP">'Data Entry'!$K$49</definedName>
    <definedName name="AOIPTStudCntELL">'Data Entry'!$K$40</definedName>
    <definedName name="AOIPTStudCntFRPL">'Data Entry'!$K$53</definedName>
    <definedName name="AOIPTStudCntG">'Data Entry'!$K$52</definedName>
    <definedName name="AOIPTStudCntHI">'Data Entry'!$K$41</definedName>
    <definedName name="AOIPTStudCntK3">'Data Entry'!$K$39</definedName>
    <definedName name="AOIPTStudCntK3Read">'Data Entry'!$K$38</definedName>
    <definedName name="AOIPTStudCntK8CY">'Data Entry'!$I$19</definedName>
    <definedName name="AOIPTStudCntMDR.AR.SIDR">'Data Entry'!$K$42</definedName>
    <definedName name="AOIPTStudCntMDSC.ASC.SIDSC">'Data Entry'!$K$43</definedName>
    <definedName name="AOIPTStudCntMDSSI">'Data Entry'!$K$44</definedName>
    <definedName name="AOIPTStudCntMOID">'Data Entry'!$K$50</definedName>
    <definedName name="AOIPTStudCntOIR">'Data Entry'!$K$45</definedName>
    <definedName name="AOIPTStudCntOISC">'Data Entry'!$K$46</definedName>
    <definedName name="AOIPTStudCntP.SD">'Data Entry'!$K$47</definedName>
    <definedName name="AOIPTStudCntVI">'Data Entry'!$K$51</definedName>
    <definedName name="ArizonaIndustryCredentialsIncentives">Instructions!$C$15</definedName>
    <definedName name="AverageSalaryCalculationComment">Cover!$L$36</definedName>
    <definedName name="AverageTeacherSalaries">Instructions!$C$6</definedName>
    <definedName name="BudgetSummary">Instructions!$C$32</definedName>
    <definedName name="BudgetVersion">Cover!$D$12</definedName>
    <definedName name="BudgetYearSalary">Cover!$R$32</definedName>
    <definedName name="CA0181IntangibleAssets">'Page 2'!$E$40</definedName>
    <definedName name="CA0191Land">'Page 2'!$E$41</definedName>
    <definedName name="CA0192SiteImprovements">'Page 2'!$E$42</definedName>
    <definedName name="CA0194Buildings">'Page 2'!$E$43</definedName>
    <definedName name="CA0196Equipment">'Page 2'!$E$44</definedName>
    <definedName name="CA0198CIP">'Page 2'!$E$45</definedName>
    <definedName name="CAK3Reading">'Page 2'!$E$48</definedName>
    <definedName name="CapitalAcquisitions">Instructions!$C$17</definedName>
    <definedName name="CharterContactInfo">Instructions!$C$7</definedName>
    <definedName name="CharterName">Cover!$D$1</definedName>
    <definedName name="Check_box_if_the_district_has_been_approved_to_provide_200_days_of_instruction_by_ADE.__A.R.S._Sec._15_902.04">'Data Entry'!$C$64</definedName>
    <definedName name="CIP1072P265F1000">'Page 4'!$N$30</definedName>
    <definedName name="CIP1072P265F1000PPL">'Page 4'!$G$30</definedName>
    <definedName name="CIP1072P265F2100">'Page 4'!$N$32</definedName>
    <definedName name="CIP1072P265F2100PPL">'Page 4'!$G$32</definedName>
    <definedName name="CIP1072P265F2200">'Page 4'!$N$33</definedName>
    <definedName name="CIP1072P265F2200PPL">'Page 4'!$G$33</definedName>
    <definedName name="CIP1072P265F2300">'Page 4'!$N$34</definedName>
    <definedName name="CIP1072P265F2300PPL">'Page 4'!$G$34</definedName>
    <definedName name="CIP1072P265F2400">'Page 4'!$N$35</definedName>
    <definedName name="CIP1072P265F2400PPL">'Page 4'!$G$35</definedName>
    <definedName name="CIP1072P265F2500">'Page 4'!$N$36</definedName>
    <definedName name="CIP1072P265F2500PPL">'Page 4'!$G$36</definedName>
    <definedName name="CIP1072P265F2600">'Page 4'!$N$37</definedName>
    <definedName name="CIP1072P265F2600PPL">'Page 4'!$G$37</definedName>
    <definedName name="CIP1072P265F2900">'Page 4'!$N$38</definedName>
    <definedName name="CIP1072P265F2900PPL">'Page 4'!$G$38</definedName>
    <definedName name="CIP1072P435F2700">'Page 4'!$N$42</definedName>
    <definedName name="CIP1072P435F2700PPL">'Page 4'!$G$42</definedName>
    <definedName name="CollegeCreditExamIncentives">Instructions!$C$14</definedName>
    <definedName name="CoverGen">Instructions!$C$2</definedName>
    <definedName name="CoverGen1">Instructions!$C$2</definedName>
    <definedName name="CSPTotal">'Page 3'!$K$13</definedName>
    <definedName name="CTD">Cover!$P$1</definedName>
    <definedName name="CTDSNumber">Instructions!$C$3</definedName>
    <definedName name="DecreaseforFedandStateMonies">'Data Entry'!$C$65</definedName>
    <definedName name="EmployeeBenefits">Instructions!$C$2</definedName>
    <definedName name="EstimatedRevenues">Instructions!$C$5</definedName>
    <definedName name="FederalandStateProjectsTotal">'Page 2'!$E$37</definedName>
    <definedName name="FP11001130TitleI">'Page 2'!$E$5</definedName>
    <definedName name="FP11401150TitleII">'Page 2'!$E$6</definedName>
    <definedName name="FP1160TitleIV">'Page 2'!$E$7</definedName>
    <definedName name="FP11701180TitleV">'Page 2'!$E$8</definedName>
    <definedName name="FP1190TitleIII">'Page 2'!$E$9</definedName>
    <definedName name="FP1200TitleVII">'Page 2'!$E$10</definedName>
    <definedName name="FP1210TitleVI">'Page 2'!$E$11</definedName>
    <definedName name="FP1220IDEA">'Page 2'!$E$12</definedName>
    <definedName name="FP1230Johnson">'Page 2'!$E$13</definedName>
    <definedName name="FP1240WIA">'Page 2'!$E$14</definedName>
    <definedName name="FP1250AEA">'Page 2'!$E$15</definedName>
    <definedName name="FP12601270VocEd">'Page 2'!$E$16</definedName>
    <definedName name="FP1280TitleX">'Page 2'!$E$17</definedName>
    <definedName name="FP1290Medicaid">'Page 2'!$E$18</definedName>
    <definedName name="FP13__ImpactAid">'Page 2'!$E$20</definedName>
    <definedName name="FP1300Charter">'Page 2'!$E$19</definedName>
    <definedName name="FP13101399Other">'Page 2'!$E$21</definedName>
    <definedName name="FP1420ExtendedSchool">'Page 2'!$E$26</definedName>
    <definedName name="FTEcertified">'Page 2'!$N$43</definedName>
    <definedName name="FTEcontract">'Page 2'!$N$45</definedName>
    <definedName name="FTEnoncertified">'Page 2'!$N$44</definedName>
    <definedName name="FY18Average">Cover!$R$41</definedName>
    <definedName name="G912SuppLvlWgt0.001to99.999">Calculations!$N$9</definedName>
    <definedName name="G912SuppLvlWgt100.000to499.999">Calculations!$N$17</definedName>
    <definedName name="G912SuppLvlWgt500.000to599.999">Calculations!$N$25</definedName>
    <definedName name="G912SuppLvlWgt600.000Plus">Calculations!$N$27</definedName>
    <definedName name="IEPtransportation">'Page 2'!$N$14</definedName>
    <definedName name="IIPClassSizeReduction">'Page 2'!$N$22</definedName>
    <definedName name="IIPDropoutPreventionPrograms">'Page 2'!$N$23</definedName>
    <definedName name="IIPInstructionalImprovementPrograms">'Page 2'!$N$24</definedName>
    <definedName name="IIPTeacherCompensationIncreases">'Page 2'!$N$21</definedName>
    <definedName name="Incr200Days">'Data Entry'!$D$64</definedName>
    <definedName name="IncreaseSinceFY18">Cover!$R$42</definedName>
    <definedName name="K8SuppLvlWgt0.001to99.999">Calculations!$L$9</definedName>
    <definedName name="K8SuppLvlWgt100.000to499.999">Calculations!$L$17</definedName>
    <definedName name="K8SuppLvlWgt500.000to599.999">Calculations!$L$25</definedName>
    <definedName name="K8SuppLvlWgt600.000Plus">Calculations!$L$27</definedName>
    <definedName name="NonAOIStudCnt912CY">'Data Entry'!$L$17</definedName>
    <definedName name="NonAOIStudCntDD.ED.MIID.SLD.SLI.OHI">'Data Entry'!$I$48</definedName>
    <definedName name="NonAOIStudCntEDP">'Data Entry'!$I$49</definedName>
    <definedName name="NonAOIStudCntELL">'Data Entry'!$I$40</definedName>
    <definedName name="NonAOIStudCntFRPL">'Data Entry'!$I$53</definedName>
    <definedName name="NonAOIStudCntG">'Data Entry'!$I$52</definedName>
    <definedName name="NonAOIStudCntHI">'Data Entry'!$I$41</definedName>
    <definedName name="NonAOIStudCntK3">'Data Entry'!$I$39</definedName>
    <definedName name="NonAOIStudCntK3Read">'Data Entry'!$I$38</definedName>
    <definedName name="NonAOIStudCntK8CY">'Data Entry'!$I$17</definedName>
    <definedName name="NonAOIStudCntMDR.AR.SIDR">'Data Entry'!$I$42</definedName>
    <definedName name="NonAOIStudCntMDSC.ASC.SIDSC">'Data Entry'!$I$43</definedName>
    <definedName name="NonAOIStudCntMDSSI">'Data Entry'!$I$44</definedName>
    <definedName name="NonAOIStudCntMOID">'Data Entry'!$I$50</definedName>
    <definedName name="NonAOIStudCntOIR">'Data Entry'!$I$45</definedName>
    <definedName name="NonAOIStudCntOISC">'Data Entry'!$I$46</definedName>
    <definedName name="NonAOIStudCntP.SD">'Data Entry'!$I$47</definedName>
    <definedName name="NonAOIStudCntPSDCY">'Data Entry'!$F$17</definedName>
    <definedName name="NonAOIStudCntVI">'Data Entry'!$I$51</definedName>
    <definedName name="NonFedAuditExp">'Data Entry'!$N$71</definedName>
    <definedName name="OtherStateProjects">Instructions!$C$16</definedName>
    <definedName name="P200CareerEducation">'Page 2'!$N$11</definedName>
    <definedName name="P200CareerEducationCY">'Page 2'!$M$11</definedName>
    <definedName name="P200ELLCompensatoryInstruction">'Page 2'!$N$8</definedName>
    <definedName name="P200ELLCompensatoryInstructionCY">'Page 2'!$M$8</definedName>
    <definedName name="P200ELLIncrementalCosts">'Page 2'!$N$7</definedName>
    <definedName name="P200ELLIncrementalCostsCY">'Page 2'!$M$7</definedName>
    <definedName name="P200GiftedEducation">'Page 2'!$N$6</definedName>
    <definedName name="P200GiftedEducationCY">'Page 2'!$M$6</definedName>
    <definedName name="P200RemedialEducation">'Page 2'!$N$9</definedName>
    <definedName name="P200RemedialEducationCY">'Page 2'!$M$9</definedName>
    <definedName name="P200VocationalandTechnologicalEd">'Page 2'!$N$10</definedName>
    <definedName name="P200VocationalandTechnologicalEdCY">'Page 2'!$M$10</definedName>
    <definedName name="Page3ClassroomSiteProjectsFunc2300">Instructions!$C$28</definedName>
    <definedName name="Page3ClassroomSiteProjectsSubTable">Instructions!$C$29</definedName>
    <definedName name="PercentStatewideWeightedStudentCount">'Data Entry'!$C$82</definedName>
    <definedName name="Pg1EmployeeBenefits">Instructions!$C$12</definedName>
    <definedName name="Pg1General">Instructions!$C$8</definedName>
    <definedName name="Pg1Line37">Instructions!$C$11</definedName>
    <definedName name="Pg1Program550">Instructions!$C$9</definedName>
    <definedName name="Pg2DebtService">Instructions!$C$25</definedName>
    <definedName name="Pg2ExpensesByType">Instructions!$C$21</definedName>
    <definedName name="pg2FTE">Instructions!$C$26</definedName>
    <definedName name="Pg2InstructionalImprovementProj">Instructions!$C$23</definedName>
    <definedName name="Pg2Line1">Instructions!$C$19</definedName>
    <definedName name="Pg2Line9">Instructions!$C$20</definedName>
    <definedName name="Pg2Lines3and4">Instructions!$C$24</definedName>
    <definedName name="Pg2SpecialEd">Instructions!$C$18</definedName>
    <definedName name="Pg2StateEqualAssist">Instructions!$C$22</definedName>
    <definedName name="Pg3ClassroomSiteProj">Instructions!$C$27</definedName>
    <definedName name="Pg4CompensatoryInstructionProj">Instructions!$C$31</definedName>
    <definedName name="Pg4EnglishLanguageLearnerProj">Instructions!$C$30</definedName>
    <definedName name="_xlnm.Print_Area" localSheetId="6">'Budget Summary'!$A$1:$M$47</definedName>
    <definedName name="_xlnm.Print_Area" localSheetId="8">Calculations!$A$1:$O$99</definedName>
    <definedName name="_xlnm.Print_Area" localSheetId="1">'Charter Contacts'!$A$1:$I$38</definedName>
    <definedName name="_xlnm.Print_Area" localSheetId="0">Cover!$A$1:$S$42</definedName>
    <definedName name="_xlnm.Print_Area" localSheetId="7">'Data Entry'!$A$1:$P$83</definedName>
    <definedName name="_xlnm.Print_Area" localSheetId="10">Instructions!$A$1:$C$32</definedName>
    <definedName name="_xlnm.Print_Area" localSheetId="2">'Page 1'!$A$1:$N$50</definedName>
    <definedName name="_xlnm.Print_Area" localSheetId="3">'Page 2'!$A$1:$O$49</definedName>
    <definedName name="_xlnm.Print_Area" localSheetId="5">'Page 4'!$A$1:$P$43</definedName>
    <definedName name="_xlnm.Print_Area">'Page 4'!$A$1:$P$43</definedName>
    <definedName name="_xlnm.Print_Titles" localSheetId="10">Instructions!$1:$1</definedName>
    <definedName name="PriorYearSalary">Cover!$R$33</definedName>
    <definedName name="RemoteTimeAdjustment">'Data Entry'!$N$77</definedName>
    <definedName name="SalaryIncreaseFromPriorYear">Cover!$R$34</definedName>
    <definedName name="SalaryPercentageIncrease">Cover!$R$35</definedName>
    <definedName name="SEIP1071P260F1000">'Page 4'!$N$9</definedName>
    <definedName name="SEIP1071P260F1000PPL">'Page 4'!$G$9</definedName>
    <definedName name="SEIP1071P260F2100">'Page 4'!$N$11</definedName>
    <definedName name="SEIP1071P260F2100PPL">'Page 4'!$G$11</definedName>
    <definedName name="SEIP1071P260F2200">'Page 4'!$N$12</definedName>
    <definedName name="SEIP1071P260F2200PPL">'Page 4'!$G$12</definedName>
    <definedName name="SEIP1071P260F2300">'Page 4'!$N$13</definedName>
    <definedName name="SEIP1071P260F2300PPL">'Page 4'!$G$13</definedName>
    <definedName name="SEIP1071P260F2400">'Page 4'!$N$14</definedName>
    <definedName name="SEIP1071P260F2400PPL">'Page 4'!$G$14</definedName>
    <definedName name="SEIP1071P260F2500">'Page 4'!$N$15</definedName>
    <definedName name="SEIP1071P260F2500PPL">'Page 4'!$G$15</definedName>
    <definedName name="SEIP1071P260F2600">'Page 4'!$N$16</definedName>
    <definedName name="SEIP1071P260F2600PPL">'Page 4'!$G$16</definedName>
    <definedName name="SEIP1071P260F2900">'Page 4'!$N$17</definedName>
    <definedName name="SEIP1071P260F2900PPL">'Page 4'!$G$17</definedName>
    <definedName name="SEIP1071P430F2700">'Page 4'!$N$21</definedName>
    <definedName name="SEIP1071P430F2700PPL">'Page 4'!$G$21</definedName>
    <definedName name="SP1000ClassSiteProj">'Page 1'!$L$44</definedName>
    <definedName name="SP1000ClassSiteProjCY">'Page 1'!$K$44</definedName>
    <definedName name="SP1000CompInstrProj">'Page 1'!$L$47</definedName>
    <definedName name="SP1000CompInstrProjCY">'Page 1'!$K$47</definedName>
    <definedName name="SP1000FedStProj">'Page 1'!$L$48</definedName>
    <definedName name="SP1000FedStProjCY">'Page 1'!$K$48</definedName>
    <definedName name="SP1000InstrImpProj">'Page 1'!$L$45</definedName>
    <definedName name="SP1000InstrImpProjCY">'Page 1'!$K$45</definedName>
    <definedName name="SP1000P100F1000">'Page 1'!$L$8</definedName>
    <definedName name="SP1000P100F1000CY">'Page 1'!$K$8</definedName>
    <definedName name="SP1000P100F2100">'Page 1'!$L$10</definedName>
    <definedName name="SP1000P100F2100CY">'Page 1'!$K$10</definedName>
    <definedName name="SP1000P100F2200">'Page 1'!$L$11</definedName>
    <definedName name="SP1000P100F2200CY">'Page 1'!$K$11</definedName>
    <definedName name="SP1000P100F2300">'Page 1'!$L$12</definedName>
    <definedName name="SP1000P100F2300CY">'Page 1'!$K$12</definedName>
    <definedName name="SP1000P100F2400">'Page 1'!$L$13</definedName>
    <definedName name="SP1000P100F2400CY">'Page 1'!$K$13</definedName>
    <definedName name="SP1000P100F2500">'Page 1'!$L$14</definedName>
    <definedName name="SP1000P100F2500CY">'Page 1'!$K$14</definedName>
    <definedName name="SP1000P100F2600">'Page 1'!$L$15</definedName>
    <definedName name="SP1000P100F2600CY">'Page 1'!$K$15</definedName>
    <definedName name="SP1000P100F2900">'Page 1'!$L$16</definedName>
    <definedName name="SP1000P100F2900CY">'Page 1'!$K$16</definedName>
    <definedName name="SP1000P100F3000">'Page 1'!$L$17</definedName>
    <definedName name="SP1000P100F3000CY">'Page 1'!$K$17</definedName>
    <definedName name="SP1000P100F4000">'Page 1'!$L$18</definedName>
    <definedName name="SP1000P100F4000CY">'Page 1'!$K$18</definedName>
    <definedName name="SP1000P100F5000">'Page 1'!$L$19</definedName>
    <definedName name="SP1000P100F5000CY">'Page 1'!$K$19</definedName>
    <definedName name="SP1000P200F1000">'Page 1'!$L$25</definedName>
    <definedName name="SP1000P200F1000CY">'Page 1'!$K$25</definedName>
    <definedName name="SP1000P200F2100">'Page 1'!$L$27</definedName>
    <definedName name="SP1000P200F2100CY">'Page 1'!$K$27</definedName>
    <definedName name="SP1000P200F2200">'Page 1'!$L$28</definedName>
    <definedName name="SP1000P200F2200CY">'Page 1'!$K$28</definedName>
    <definedName name="SP1000P200F2300">'Page 1'!$L$29</definedName>
    <definedName name="SP1000P200F2300CY">'Page 1'!$K$29</definedName>
    <definedName name="SP1000P200F2400">'Page 1'!$L$30</definedName>
    <definedName name="SP1000P200F2400CY">'Page 1'!$K$30</definedName>
    <definedName name="SP1000P200F2500">'Page 1'!$L$31</definedName>
    <definedName name="SP1000P200F2500CY">'Page 1'!$K$31</definedName>
    <definedName name="SP1000P200F2600">'Page 1'!$L$32</definedName>
    <definedName name="SP1000P200F2600CY">'Page 1'!$K$32</definedName>
    <definedName name="SP1000P200F2900">'Page 1'!$L$33</definedName>
    <definedName name="SP1000P200F2900CY">'Page 1'!$K$33</definedName>
    <definedName name="SP1000P200F3000">'Page 1'!$L$34</definedName>
    <definedName name="SP1000P200F3000CY">'Page 1'!$K$34</definedName>
    <definedName name="SP1000P200F4000">'Page 1'!$L$35</definedName>
    <definedName name="SP1000P200F4000CY">'Page 1'!$K$35</definedName>
    <definedName name="SP1000P200F5000">'Page 1'!$L$36</definedName>
    <definedName name="SP1000P200F5000CY">'Page 1'!$K$36</definedName>
    <definedName name="SP1000P400">'Page 1'!$L$39</definedName>
    <definedName name="SP1000P400CY">'Page 1'!$K$39</definedName>
    <definedName name="SP1000P530">'Page 1'!$L$40</definedName>
    <definedName name="SP1000P530CY">'Page 1'!$K$40</definedName>
    <definedName name="SP1000P540">'Page 1'!$L$41</definedName>
    <definedName name="SP1000P540CY">'Page 1'!$K$41</definedName>
    <definedName name="SP1000P550">'Page 1'!$L$42</definedName>
    <definedName name="SP1000P550CY">'Page 1'!$K$42</definedName>
    <definedName name="SP1000P610">'Page 1'!$L$20</definedName>
    <definedName name="SP1000P610CY">'Page 1'!$K$20</definedName>
    <definedName name="SP1000P620">'Page 1'!$L$21</definedName>
    <definedName name="SP1000P620CY">'Page 1'!$K$21</definedName>
    <definedName name="SP1000P630700800900">'Page 1'!$L$22</definedName>
    <definedName name="SP1000P630700800900CY">'Page 1'!$K$22</definedName>
    <definedName name="SP1000StruEngImmProj">'Page 1'!$L$46</definedName>
    <definedName name="SP1000StruEngImmProjCY">'Page 1'!$K$46</definedName>
    <definedName name="SP1000Total">'Page 1'!$L$43</definedName>
    <definedName name="SP1000TotalCY">'Page 1'!$K$43</definedName>
    <definedName name="SP1400VocEd">'Page 2'!$E$24</definedName>
    <definedName name="SP1410EarlyChildhoodBlockGrant">'Page 2'!$E$25</definedName>
    <definedName name="SP1425AdultBasicEd">'Page 2'!$E$27</definedName>
    <definedName name="SP1430ChemicalAbuse">'Page 2'!$E$28</definedName>
    <definedName name="SP1435AcademicContests">'Page 2'!$E$29</definedName>
    <definedName name="SP1450GiftedEd">'Page 2'!$E$30</definedName>
    <definedName name="SP1460EnvironmentalSpecialPlate">'Page 2'!$E$32</definedName>
    <definedName name="SP1465CharterSchool">'Page 2'!$E$33</definedName>
    <definedName name="SP14701499Other">'Page 2'!$E$35</definedName>
    <definedName name="StudCnt912CY">'Data Entry'!$L$20</definedName>
    <definedName name="StudCntK8CY">'Data Entry'!$I$20</definedName>
    <definedName name="Total_Student_Count">'Data Entry'!$B$20</definedName>
    <definedName name="TotalCapitalAcquisitions">'Page 2'!$E$46</definedName>
    <definedName name="TotalCapitalAcquisitionsCY">'Page 2'!$D$46</definedName>
    <definedName name="TotalCIP">'Page 4'!$N$43</definedName>
    <definedName name="TotalCIP6100">'Page 4'!$H$43</definedName>
    <definedName name="TotalCIP6200">'Page 4'!$I$43</definedName>
    <definedName name="TotalCIP630064006500">'Page 4'!$J$43</definedName>
    <definedName name="TotalCIP6600">'Page 4'!$K$43</definedName>
    <definedName name="TotalCIP6800">'Page 4'!$L$43</definedName>
    <definedName name="TotalCSP6100">'Page 3'!$F$13</definedName>
    <definedName name="TotalCSP6200">'Page 3'!$G$13</definedName>
    <definedName name="TotalCSP630064006500">'Page 3'!$H$13</definedName>
    <definedName name="TotalCSP6600">'Page 3'!$I$13</definedName>
    <definedName name="TotalFederalAndStateProjects">Instructions!$C$13</definedName>
    <definedName name="TotalFederalProjects">'Page 2'!$E$22</definedName>
    <definedName name="TotalFederalProjectsCY">'Page 2'!$D$22</definedName>
    <definedName name="TotalInstructionalImprovement">'Page 2'!$N$25</definedName>
    <definedName name="TotalSEIP">'Page 4'!$N$22</definedName>
    <definedName name="TotalSEIP6100">'Page 4'!$H$22</definedName>
    <definedName name="TotalSEIP6200">'Page 4'!$I$22</definedName>
    <definedName name="TotalSEIP630064006500">'Page 4'!$J$22</definedName>
    <definedName name="TotalSEIP6600">'Page 4'!$K$22</definedName>
    <definedName name="TotalSEIP6800">'Page 4'!$L$22</definedName>
    <definedName name="TotalStateProjects">'Page 2'!$E$36</definedName>
    <definedName name="TotalStateProjectsCY">'Page 2'!$D$36</definedName>
    <definedName name="Version">Instructions!$C$4</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9" i="3" l="1"/>
  <c r="E21" i="3" l="1"/>
  <c r="E12" i="3"/>
  <c r="N5" i="3"/>
  <c r="I22" i="2"/>
  <c r="G8" i="2"/>
  <c r="F8" i="2"/>
  <c r="F33" i="11" l="1" a="1"/>
  <c r="F33" i="11" s="1"/>
  <c r="F42" i="11" a="1"/>
  <c r="F42" i="11" s="1"/>
  <c r="F38" i="11" a="1"/>
  <c r="F38" i="11" s="1"/>
  <c r="F37" i="11" a="1"/>
  <c r="F37" i="11" s="1"/>
  <c r="F36" i="11" a="1"/>
  <c r="F36" i="11" s="1"/>
  <c r="F35" i="11" a="1"/>
  <c r="F35" i="11" s="1"/>
  <c r="F34" i="11" a="1"/>
  <c r="F34" i="11" s="1"/>
  <c r="F32" i="11" a="1"/>
  <c r="F32" i="11" s="1"/>
  <c r="F30" i="11" a="1"/>
  <c r="F30" i="11" s="1"/>
  <c r="F21" i="11" a="1"/>
  <c r="F21" i="11" s="1"/>
  <c r="F17" i="11" a="1"/>
  <c r="F17" i="11" s="1"/>
  <c r="F16" i="11" a="1"/>
  <c r="F16" i="11" s="1"/>
  <c r="F15" i="11" a="1"/>
  <c r="F15" i="11" s="1"/>
  <c r="F14" i="11" a="1"/>
  <c r="F14" i="11" s="1"/>
  <c r="F13" i="11" a="1"/>
  <c r="F13" i="11" s="1"/>
  <c r="F12" i="11" a="1"/>
  <c r="F12" i="11" s="1"/>
  <c r="F11" i="11" a="1"/>
  <c r="F11" i="11" s="1"/>
  <c r="F9" i="11" a="1"/>
  <c r="F9" i="11" s="1"/>
  <c r="M42" i="11" a="1"/>
  <c r="M42" i="11" s="1"/>
  <c r="O42" i="11" s="1"/>
  <c r="M38" i="11" a="1"/>
  <c r="M38" i="11" s="1"/>
  <c r="O38" i="11" s="1"/>
  <c r="M37" i="11" a="1"/>
  <c r="M37" i="11" s="1"/>
  <c r="O37" i="11" s="1"/>
  <c r="M36" i="11" a="1"/>
  <c r="M36" i="11" s="1"/>
  <c r="O36" i="11" s="1"/>
  <c r="M35" i="11" a="1"/>
  <c r="M35" i="11" s="1"/>
  <c r="O35" i="11" s="1"/>
  <c r="M34" i="11" a="1"/>
  <c r="M34" i="11" s="1"/>
  <c r="O34" i="11" s="1"/>
  <c r="M33" i="11" a="1"/>
  <c r="M33" i="11" s="1"/>
  <c r="O33" i="11" s="1"/>
  <c r="M32" i="11" a="1"/>
  <c r="M32" i="11" s="1"/>
  <c r="O32" i="11" s="1"/>
  <c r="M30" i="11" a="1"/>
  <c r="M30" i="11" s="1"/>
  <c r="M22" i="11" a="1"/>
  <c r="M22" i="11" s="1"/>
  <c r="O22" i="11" s="1"/>
  <c r="M21" i="11" a="1"/>
  <c r="M21" i="11" s="1"/>
  <c r="O21" i="11" s="1"/>
  <c r="M17" i="11" a="1"/>
  <c r="M17" i="11" s="1"/>
  <c r="O17" i="11" s="1"/>
  <c r="M16" i="11" a="1"/>
  <c r="M16" i="11" s="1"/>
  <c r="O16" i="11" s="1"/>
  <c r="M15" i="11" a="1"/>
  <c r="M15" i="11" s="1"/>
  <c r="O15" i="11" s="1"/>
  <c r="M14" i="11" a="1"/>
  <c r="M14" i="11" s="1"/>
  <c r="O14" i="11" s="1"/>
  <c r="M13" i="11" a="1"/>
  <c r="M13" i="11" s="1"/>
  <c r="O13" i="11" s="1"/>
  <c r="M12" i="11" a="1"/>
  <c r="M12" i="11" s="1"/>
  <c r="O12" i="11" s="1"/>
  <c r="M11" i="11" a="1"/>
  <c r="M11" i="11" s="1"/>
  <c r="O11" i="11" s="1"/>
  <c r="M9" i="11" a="1"/>
  <c r="M9" i="11" s="1"/>
  <c r="J13" i="9" a="1"/>
  <c r="J13" i="9" s="1"/>
  <c r="J12" i="9" a="1"/>
  <c r="J12" i="9" s="1"/>
  <c r="L12" i="9" s="1"/>
  <c r="J11" i="9" a="1"/>
  <c r="J11" i="9" s="1"/>
  <c r="L11" i="9" s="1"/>
  <c r="J10" i="9" a="1"/>
  <c r="J10" i="9" s="1"/>
  <c r="L10" i="9" s="1"/>
  <c r="J9" i="9" a="1"/>
  <c r="J9" i="9" s="1"/>
  <c r="L9" i="9" s="1"/>
  <c r="J8" i="9" a="1"/>
  <c r="J8" i="9" s="1"/>
  <c r="D34" i="3"/>
  <c r="D31" i="3"/>
  <c r="M5" i="3"/>
  <c r="M45" i="3" a="1"/>
  <c r="M45" i="3" s="1"/>
  <c r="D40" i="3" a="1"/>
  <c r="D40" i="3" s="1"/>
  <c r="M44" i="3" a="1"/>
  <c r="M44" i="3" s="1"/>
  <c r="M43" i="3" a="1"/>
  <c r="M43" i="3" s="1"/>
  <c r="M14" i="3" a="1"/>
  <c r="M14" i="3" s="1"/>
  <c r="D48" i="3"/>
  <c r="D45" i="3"/>
  <c r="D44" i="3"/>
  <c r="D43" i="3"/>
  <c r="D42" i="3"/>
  <c r="D41" i="3"/>
  <c r="M24" i="3"/>
  <c r="M23" i="3"/>
  <c r="M22" i="3"/>
  <c r="M21" i="3"/>
  <c r="M11" i="3"/>
  <c r="K18" i="12" s="1"/>
  <c r="M18" i="12" s="1"/>
  <c r="M10" i="3"/>
  <c r="K17" i="12" s="1"/>
  <c r="M17" i="12" s="1"/>
  <c r="M9" i="3"/>
  <c r="K16" i="12" s="1"/>
  <c r="M16" i="12" s="1"/>
  <c r="M8" i="3"/>
  <c r="K15" i="12" s="1"/>
  <c r="M15" i="12" s="1"/>
  <c r="M7" i="3"/>
  <c r="K14" i="12" s="1"/>
  <c r="M14" i="12" s="1"/>
  <c r="M6" i="3"/>
  <c r="K13" i="12" s="1"/>
  <c r="M13" i="12" s="1"/>
  <c r="D35" i="3"/>
  <c r="D33" i="3"/>
  <c r="D32" i="3"/>
  <c r="D30" i="3"/>
  <c r="D29" i="3"/>
  <c r="D28" i="3"/>
  <c r="D27" i="3"/>
  <c r="D26" i="3"/>
  <c r="D25" i="3"/>
  <c r="D24" i="3"/>
  <c r="D21" i="3"/>
  <c r="D20" i="3"/>
  <c r="D19" i="3"/>
  <c r="D18" i="3"/>
  <c r="D17" i="3"/>
  <c r="D16" i="3"/>
  <c r="D15" i="3"/>
  <c r="D14" i="3"/>
  <c r="D13" i="3"/>
  <c r="D12" i="3"/>
  <c r="D11" i="3"/>
  <c r="D10" i="3"/>
  <c r="D9" i="3"/>
  <c r="D8" i="3"/>
  <c r="D7" i="3"/>
  <c r="D6" i="3"/>
  <c r="D5" i="3"/>
  <c r="K48" i="2"/>
  <c r="K47" i="2"/>
  <c r="M47" i="2" s="1"/>
  <c r="K46" i="2"/>
  <c r="J28" i="12" s="1"/>
  <c r="L28" i="12" s="1"/>
  <c r="K45" i="2"/>
  <c r="J27" i="12" s="1"/>
  <c r="K44" i="2"/>
  <c r="J26" i="12" s="1"/>
  <c r="K42" i="2"/>
  <c r="D40" i="12" s="1"/>
  <c r="F40" i="12" s="1"/>
  <c r="K41" i="2"/>
  <c r="D39" i="12" s="1"/>
  <c r="F39" i="12" s="1"/>
  <c r="K40" i="2"/>
  <c r="M40" i="2" s="1"/>
  <c r="K39" i="2"/>
  <c r="M39" i="2" s="1"/>
  <c r="K36" i="2"/>
  <c r="D34" i="12" s="1"/>
  <c r="F34" i="12" s="1"/>
  <c r="K35" i="2"/>
  <c r="D33" i="12" s="1"/>
  <c r="F33" i="12" s="1"/>
  <c r="K34" i="2"/>
  <c r="M34" i="2" s="1"/>
  <c r="K33" i="2"/>
  <c r="M33" i="2" s="1"/>
  <c r="K32" i="2"/>
  <c r="M32" i="2" s="1"/>
  <c r="K31" i="2"/>
  <c r="D29" i="12" s="1"/>
  <c r="F29" i="12" s="1"/>
  <c r="K30" i="2"/>
  <c r="M30" i="2" s="1"/>
  <c r="K29" i="2"/>
  <c r="M29" i="2" s="1"/>
  <c r="K28" i="2"/>
  <c r="D26" i="12" s="1"/>
  <c r="K27" i="2"/>
  <c r="D25" i="12" s="1"/>
  <c r="F25" i="12" s="1"/>
  <c r="K25" i="2"/>
  <c r="K22" i="2"/>
  <c r="D20" i="12" s="1"/>
  <c r="K21" i="2"/>
  <c r="M21" i="2" s="1"/>
  <c r="K20" i="2"/>
  <c r="M20" i="2" s="1"/>
  <c r="K19" i="2"/>
  <c r="D17" i="12" s="1"/>
  <c r="K18" i="2"/>
  <c r="D16" i="12" s="1"/>
  <c r="F16" i="12" s="1"/>
  <c r="K17" i="2"/>
  <c r="D15" i="12" s="1"/>
  <c r="K16" i="2"/>
  <c r="D14" i="12" s="1"/>
  <c r="F14" i="12" s="1"/>
  <c r="K15" i="2"/>
  <c r="K14" i="2"/>
  <c r="K13" i="2"/>
  <c r="K12" i="2"/>
  <c r="D10" i="12" s="1"/>
  <c r="K11" i="2"/>
  <c r="D9" i="12" s="1"/>
  <c r="K10" i="2"/>
  <c r="K8" i="2"/>
  <c r="R6" i="1"/>
  <c r="N12" i="3"/>
  <c r="E68" i="21"/>
  <c r="C68" i="21"/>
  <c r="E66" i="21"/>
  <c r="C66" i="21"/>
  <c r="H55" i="21"/>
  <c r="H54" i="21"/>
  <c r="E58" i="21" s="1"/>
  <c r="E51" i="21"/>
  <c r="H50" i="21"/>
  <c r="G44" i="21"/>
  <c r="E44" i="21"/>
  <c r="H34" i="21"/>
  <c r="G34" i="21"/>
  <c r="D32" i="21"/>
  <c r="C32" i="21"/>
  <c r="H31" i="21"/>
  <c r="G31" i="21"/>
  <c r="F31" i="21"/>
  <c r="D31" i="21"/>
  <c r="C31" i="21"/>
  <c r="B31" i="21"/>
  <c r="H30" i="21"/>
  <c r="G30" i="21"/>
  <c r="F30" i="21"/>
  <c r="D30" i="21"/>
  <c r="C30" i="21"/>
  <c r="B30" i="21"/>
  <c r="H29" i="21"/>
  <c r="G29" i="21"/>
  <c r="F29" i="21"/>
  <c r="D29" i="21"/>
  <c r="C29" i="21"/>
  <c r="B29" i="21"/>
  <c r="H28" i="21"/>
  <c r="G28" i="21"/>
  <c r="F28" i="21"/>
  <c r="D28" i="21"/>
  <c r="C28" i="21"/>
  <c r="B28" i="21"/>
  <c r="H27" i="21"/>
  <c r="G27" i="21"/>
  <c r="F27" i="21"/>
  <c r="D27" i="21"/>
  <c r="C27" i="21"/>
  <c r="B27" i="21"/>
  <c r="H26" i="21"/>
  <c r="G26" i="21"/>
  <c r="F26" i="21"/>
  <c r="D26" i="21"/>
  <c r="C26" i="21"/>
  <c r="B26" i="21"/>
  <c r="H25" i="21"/>
  <c r="G25" i="21"/>
  <c r="F25" i="21"/>
  <c r="D25" i="21"/>
  <c r="C25" i="21"/>
  <c r="B25" i="21"/>
  <c r="H24" i="21"/>
  <c r="G24" i="21"/>
  <c r="F24" i="21"/>
  <c r="D24" i="21"/>
  <c r="C24" i="21"/>
  <c r="B24" i="21"/>
  <c r="H23" i="21"/>
  <c r="G23" i="21"/>
  <c r="F23" i="21"/>
  <c r="D23" i="21"/>
  <c r="C23" i="21"/>
  <c r="B23" i="21"/>
  <c r="H22" i="21"/>
  <c r="G22" i="21"/>
  <c r="F22" i="21"/>
  <c r="D22" i="21"/>
  <c r="C22" i="21"/>
  <c r="B22" i="21"/>
  <c r="H21" i="21"/>
  <c r="G21" i="21"/>
  <c r="F21" i="21"/>
  <c r="D21" i="21"/>
  <c r="C21" i="21"/>
  <c r="B21" i="21"/>
  <c r="H20" i="21"/>
  <c r="G20" i="21"/>
  <c r="F20" i="21"/>
  <c r="D20" i="21"/>
  <c r="C20" i="21"/>
  <c r="B20" i="21"/>
  <c r="H19" i="21"/>
  <c r="G19" i="21"/>
  <c r="F19" i="21"/>
  <c r="D19" i="21"/>
  <c r="C19" i="21"/>
  <c r="B19" i="21"/>
  <c r="H18" i="21"/>
  <c r="G18" i="21"/>
  <c r="F18" i="21"/>
  <c r="D18" i="21"/>
  <c r="C18" i="21"/>
  <c r="B18" i="21"/>
  <c r="H17" i="21"/>
  <c r="G17" i="21"/>
  <c r="F17" i="21"/>
  <c r="D17" i="21"/>
  <c r="C17" i="21"/>
  <c r="B17" i="21"/>
  <c r="H16" i="21"/>
  <c r="G16" i="21"/>
  <c r="F16" i="21"/>
  <c r="D16" i="21"/>
  <c r="C16" i="21"/>
  <c r="B16" i="21"/>
  <c r="D11" i="21"/>
  <c r="C11" i="21"/>
  <c r="D10" i="21"/>
  <c r="C10" i="21"/>
  <c r="B10" i="21"/>
  <c r="B11" i="21" s="1"/>
  <c r="D12" i="21" s="1"/>
  <c r="E9" i="21"/>
  <c r="D9" i="21"/>
  <c r="C9" i="21"/>
  <c r="B9" i="21"/>
  <c r="H8" i="21"/>
  <c r="G8" i="21"/>
  <c r="F8" i="21"/>
  <c r="E8" i="21"/>
  <c r="B8" i="21"/>
  <c r="A3" i="21"/>
  <c r="A60" i="21" s="1"/>
  <c r="I1" i="21"/>
  <c r="E1" i="21"/>
  <c r="B1" i="21"/>
  <c r="N98" i="16"/>
  <c r="N89" i="16"/>
  <c r="N75" i="16"/>
  <c r="G75" i="16"/>
  <c r="F75" i="16"/>
  <c r="N74" i="16"/>
  <c r="G74" i="16"/>
  <c r="F74" i="16"/>
  <c r="G73" i="16"/>
  <c r="F73" i="16"/>
  <c r="G72" i="16"/>
  <c r="F72" i="16"/>
  <c r="L59" i="16"/>
  <c r="L57" i="16"/>
  <c r="N50" i="16"/>
  <c r="L50" i="16"/>
  <c r="N48" i="16"/>
  <c r="L48" i="16"/>
  <c r="N46" i="16"/>
  <c r="L46" i="16"/>
  <c r="N45" i="16"/>
  <c r="L45" i="16"/>
  <c r="N42" i="16"/>
  <c r="L42" i="16"/>
  <c r="N40" i="16"/>
  <c r="L40" i="16"/>
  <c r="N38" i="16"/>
  <c r="L38" i="16"/>
  <c r="N37" i="16"/>
  <c r="L37" i="16"/>
  <c r="L25" i="16"/>
  <c r="L23" i="16"/>
  <c r="L21" i="16"/>
  <c r="L20" i="16"/>
  <c r="L17" i="16"/>
  <c r="L15" i="16"/>
  <c r="L13" i="16"/>
  <c r="L12" i="16"/>
  <c r="L1" i="16"/>
  <c r="I1" i="16"/>
  <c r="E1" i="16"/>
  <c r="K54" i="18"/>
  <c r="J54" i="18"/>
  <c r="I54" i="18"/>
  <c r="L29" i="18"/>
  <c r="I29" i="18"/>
  <c r="G29" i="18"/>
  <c r="L20" i="18"/>
  <c r="I20" i="18"/>
  <c r="G20" i="18"/>
  <c r="J10" i="18"/>
  <c r="J9" i="18"/>
  <c r="J8" i="18"/>
  <c r="A6" i="18"/>
  <c r="N58" i="16" s="1"/>
  <c r="P1" i="18"/>
  <c r="L1" i="18"/>
  <c r="E1" i="18"/>
  <c r="H41" i="12"/>
  <c r="E40" i="12"/>
  <c r="E39" i="12"/>
  <c r="L38" i="12"/>
  <c r="E38" i="12"/>
  <c r="D38" i="12"/>
  <c r="F38" i="12" s="1"/>
  <c r="L37" i="12"/>
  <c r="M35" i="12" s="1"/>
  <c r="E37" i="12"/>
  <c r="E33" i="12"/>
  <c r="E32" i="12"/>
  <c r="E31" i="12"/>
  <c r="E30" i="12"/>
  <c r="K29" i="12"/>
  <c r="E29" i="12"/>
  <c r="K28" i="12"/>
  <c r="E27" i="12"/>
  <c r="E26" i="12"/>
  <c r="E20" i="12"/>
  <c r="E19" i="12"/>
  <c r="L18" i="12"/>
  <c r="E18" i="12"/>
  <c r="L17" i="12"/>
  <c r="L16" i="12"/>
  <c r="E16" i="12"/>
  <c r="L15" i="12"/>
  <c r="L14" i="12"/>
  <c r="E14" i="12"/>
  <c r="L13" i="12"/>
  <c r="E13" i="12"/>
  <c r="L12" i="12"/>
  <c r="H3" i="12"/>
  <c r="L1" i="12"/>
  <c r="A1" i="12"/>
  <c r="N43" i="11"/>
  <c r="L43" i="11"/>
  <c r="K43" i="11"/>
  <c r="J43" i="11"/>
  <c r="I43" i="11"/>
  <c r="H43" i="11"/>
  <c r="G43" i="11"/>
  <c r="N42" i="11"/>
  <c r="N39" i="11"/>
  <c r="L39" i="11"/>
  <c r="K39" i="11"/>
  <c r="J39" i="11"/>
  <c r="I39" i="11"/>
  <c r="H39" i="11"/>
  <c r="G39" i="11"/>
  <c r="N38" i="11"/>
  <c r="N37" i="11"/>
  <c r="N36" i="11"/>
  <c r="N35" i="11"/>
  <c r="N34" i="11"/>
  <c r="N33" i="11"/>
  <c r="N32" i="11"/>
  <c r="N30" i="11"/>
  <c r="N22" i="11"/>
  <c r="L22" i="11"/>
  <c r="K22" i="11"/>
  <c r="J22" i="11"/>
  <c r="I22" i="11"/>
  <c r="H22" i="11"/>
  <c r="G22" i="11"/>
  <c r="N21" i="11"/>
  <c r="N18" i="11"/>
  <c r="L18" i="11"/>
  <c r="K18" i="11"/>
  <c r="J18" i="11"/>
  <c r="I18" i="11"/>
  <c r="H18" i="11"/>
  <c r="G18" i="11"/>
  <c r="N17" i="11"/>
  <c r="N16" i="11"/>
  <c r="N15" i="11"/>
  <c r="N14" i="11"/>
  <c r="N13" i="11"/>
  <c r="N12" i="11"/>
  <c r="N11" i="11"/>
  <c r="N9" i="11"/>
  <c r="N1" i="11"/>
  <c r="J1" i="11"/>
  <c r="D1" i="11"/>
  <c r="I13" i="9"/>
  <c r="H13" i="9"/>
  <c r="G13" i="9"/>
  <c r="G44" i="2" s="1"/>
  <c r="F13" i="9"/>
  <c r="F44" i="2" s="1"/>
  <c r="K12" i="9"/>
  <c r="K11" i="9"/>
  <c r="K10" i="9"/>
  <c r="K9" i="9"/>
  <c r="K8" i="9"/>
  <c r="L1" i="9"/>
  <c r="G1" i="9"/>
  <c r="D1" i="9"/>
  <c r="E46" i="3"/>
  <c r="K32" i="12" s="1"/>
  <c r="E36" i="3"/>
  <c r="K31" i="12" s="1"/>
  <c r="N25" i="3"/>
  <c r="E22" i="3"/>
  <c r="K30" i="12" s="1"/>
  <c r="N1" i="3"/>
  <c r="I1" i="3"/>
  <c r="C1" i="3"/>
  <c r="L47" i="2"/>
  <c r="J47" i="2"/>
  <c r="I47" i="2"/>
  <c r="H47" i="2"/>
  <c r="G47" i="2"/>
  <c r="F47" i="2"/>
  <c r="L46" i="2"/>
  <c r="J46" i="2"/>
  <c r="I46" i="2"/>
  <c r="H46" i="2"/>
  <c r="G46" i="2"/>
  <c r="F46" i="2"/>
  <c r="I44" i="2"/>
  <c r="H44" i="2"/>
  <c r="L42" i="2"/>
  <c r="L41" i="2"/>
  <c r="L40" i="2"/>
  <c r="L39" i="2"/>
  <c r="J37" i="2"/>
  <c r="I37" i="2"/>
  <c r="H37" i="2"/>
  <c r="G37" i="2"/>
  <c r="F37" i="2"/>
  <c r="L36" i="2"/>
  <c r="E34" i="12" s="1"/>
  <c r="L35" i="2"/>
  <c r="L34" i="2"/>
  <c r="L33" i="2"/>
  <c r="L32" i="2"/>
  <c r="L31" i="2"/>
  <c r="L30" i="2"/>
  <c r="E28" i="12" s="1"/>
  <c r="L29" i="2"/>
  <c r="L28" i="2"/>
  <c r="L27" i="2"/>
  <c r="E25" i="12" s="1"/>
  <c r="L25" i="2"/>
  <c r="E23" i="12" s="1"/>
  <c r="J23" i="2"/>
  <c r="J43" i="2" s="1"/>
  <c r="J49" i="2" s="1"/>
  <c r="I23" i="2"/>
  <c r="I43" i="2" s="1"/>
  <c r="I49" i="2" s="1"/>
  <c r="H23" i="2"/>
  <c r="G23" i="2"/>
  <c r="F23" i="2"/>
  <c r="L22" i="2"/>
  <c r="L21" i="2"/>
  <c r="L20" i="2"/>
  <c r="L19" i="2"/>
  <c r="E17" i="12" s="1"/>
  <c r="L18" i="2"/>
  <c r="L17" i="2"/>
  <c r="L16" i="2"/>
  <c r="L15" i="2"/>
  <c r="L14" i="2"/>
  <c r="E12" i="12" s="1"/>
  <c r="L13" i="2"/>
  <c r="E11" i="12" s="1"/>
  <c r="L12" i="2"/>
  <c r="E10" i="12" s="1"/>
  <c r="L11" i="2"/>
  <c r="E9" i="12" s="1"/>
  <c r="L10" i="2"/>
  <c r="E8" i="12" s="1"/>
  <c r="L8" i="2"/>
  <c r="E6" i="12" s="1"/>
  <c r="M1" i="2"/>
  <c r="I1" i="2"/>
  <c r="D1" i="2"/>
  <c r="H1" i="14"/>
  <c r="F1" i="14"/>
  <c r="B1" i="14"/>
  <c r="R35" i="1"/>
  <c r="L40" i="12" s="1"/>
  <c r="R34" i="1"/>
  <c r="L39" i="12" s="1"/>
  <c r="S32" i="1"/>
  <c r="L30" i="1"/>
  <c r="L25" i="1"/>
  <c r="I22" i="1"/>
  <c r="I21" i="1"/>
  <c r="I20" i="1"/>
  <c r="R13" i="1"/>
  <c r="L5" i="1"/>
  <c r="L4" i="1"/>
  <c r="M17" i="2" l="1"/>
  <c r="D37" i="12"/>
  <c r="F37" i="12" s="1"/>
  <c r="L45" i="2"/>
  <c r="K27" i="12" s="1"/>
  <c r="N30" i="3"/>
  <c r="M41" i="2"/>
  <c r="M18" i="2"/>
  <c r="E37" i="3"/>
  <c r="L48" i="2" s="1"/>
  <c r="M48" i="2" s="1"/>
  <c r="L27" i="12"/>
  <c r="L44" i="2"/>
  <c r="K26" i="12" s="1"/>
  <c r="K13" i="9"/>
  <c r="L8" i="9"/>
  <c r="L26" i="12"/>
  <c r="M22" i="2"/>
  <c r="F20" i="12"/>
  <c r="F26" i="12"/>
  <c r="H43" i="2"/>
  <c r="H49" i="2" s="1"/>
  <c r="L37" i="2"/>
  <c r="P12" i="3" s="1"/>
  <c r="G43" i="2"/>
  <c r="G49" i="2" s="1"/>
  <c r="E15" i="12"/>
  <c r="F15" i="12" s="1"/>
  <c r="F17" i="12"/>
  <c r="M19" i="2"/>
  <c r="M15" i="2"/>
  <c r="M14" i="2"/>
  <c r="M13" i="2"/>
  <c r="F10" i="12"/>
  <c r="F9" i="12"/>
  <c r="M10" i="2"/>
  <c r="L23" i="2"/>
  <c r="M8" i="2"/>
  <c r="D36" i="3"/>
  <c r="J31" i="12" s="1"/>
  <c r="L31" i="12" s="1"/>
  <c r="M44" i="2"/>
  <c r="D28" i="12"/>
  <c r="F28" i="12" s="1"/>
  <c r="D6" i="12"/>
  <c r="F6" i="12" s="1"/>
  <c r="F34" i="21"/>
  <c r="C44" i="21"/>
  <c r="H35" i="21"/>
  <c r="B32" i="21"/>
  <c r="D33" i="21" s="1"/>
  <c r="G66" i="21"/>
  <c r="N20" i="16"/>
  <c r="N12" i="16"/>
  <c r="F9" i="21"/>
  <c r="H9" i="21"/>
  <c r="G9" i="21"/>
  <c r="L58" i="16"/>
  <c r="A36" i="21"/>
  <c r="D12" i="12"/>
  <c r="F12" i="12" s="1"/>
  <c r="D31" i="12"/>
  <c r="F31" i="12" s="1"/>
  <c r="M11" i="2"/>
  <c r="D11" i="12"/>
  <c r="F11" i="12" s="1"/>
  <c r="D46" i="3"/>
  <c r="J32" i="12" s="1"/>
  <c r="L32" i="12" s="1"/>
  <c r="D30" i="12"/>
  <c r="F30" i="12" s="1"/>
  <c r="M36" i="2"/>
  <c r="D13" i="12"/>
  <c r="F13" i="12" s="1"/>
  <c r="M25" i="3"/>
  <c r="M28" i="2"/>
  <c r="D19" i="12"/>
  <c r="F19" i="12" s="1"/>
  <c r="J29" i="12"/>
  <c r="L29" i="12" s="1"/>
  <c r="D32" i="12"/>
  <c r="F32" i="12" s="1"/>
  <c r="D18" i="12"/>
  <c r="F18" i="12" s="1"/>
  <c r="F39" i="11"/>
  <c r="F43" i="11" s="1"/>
  <c r="F18" i="11"/>
  <c r="F22" i="11" s="1"/>
  <c r="M39" i="11"/>
  <c r="O39" i="11" s="1"/>
  <c r="O30" i="11"/>
  <c r="O9" i="11"/>
  <c r="M18" i="11"/>
  <c r="O18" i="11" s="1"/>
  <c r="L13" i="9"/>
  <c r="D22" i="3"/>
  <c r="J30" i="12" s="1"/>
  <c r="L30" i="12" s="1"/>
  <c r="D8" i="12"/>
  <c r="F8" i="12" s="1"/>
  <c r="M12" i="3"/>
  <c r="K37" i="2"/>
  <c r="M45" i="2"/>
  <c r="M12" i="2"/>
  <c r="M27" i="2"/>
  <c r="M35" i="2"/>
  <c r="D27" i="12"/>
  <c r="F27" i="12" s="1"/>
  <c r="M42" i="2"/>
  <c r="K12" i="12"/>
  <c r="M25" i="2"/>
  <c r="M46" i="2"/>
  <c r="D23" i="12"/>
  <c r="M16" i="2"/>
  <c r="M31" i="2"/>
  <c r="K23" i="2"/>
  <c r="E35" i="12"/>
  <c r="F43" i="2"/>
  <c r="L19" i="12"/>
  <c r="M37" i="2" l="1"/>
  <c r="E21" i="12"/>
  <c r="E41" i="12" s="1"/>
  <c r="N13" i="16"/>
  <c r="N15" i="16" s="1"/>
  <c r="N17" i="16" s="1"/>
  <c r="N57" i="16" s="1"/>
  <c r="N25" i="16"/>
  <c r="N23" i="16"/>
  <c r="N21" i="16"/>
  <c r="H69" i="21"/>
  <c r="G68" i="21"/>
  <c r="H73" i="21" s="1"/>
  <c r="C77" i="21" s="1"/>
  <c r="D21" i="12"/>
  <c r="M43" i="11"/>
  <c r="O43" i="11" s="1"/>
  <c r="D37" i="3"/>
  <c r="M23" i="2"/>
  <c r="K43" i="2"/>
  <c r="D35" i="12"/>
  <c r="F35" i="12" s="1"/>
  <c r="F23" i="12"/>
  <c r="K19" i="12"/>
  <c r="M19" i="12" s="1"/>
  <c r="M12" i="12"/>
  <c r="F49" i="2"/>
  <c r="L43" i="2"/>
  <c r="F21" i="12" l="1"/>
  <c r="N59" i="16"/>
  <c r="E10" i="21"/>
  <c r="D41" i="12"/>
  <c r="F41" i="12" s="1"/>
  <c r="M43" i="2"/>
  <c r="J25" i="12"/>
  <c r="K49" i="2"/>
  <c r="K25" i="12"/>
  <c r="K33" i="12" s="1"/>
  <c r="L49" i="2"/>
  <c r="M49" i="2" l="1"/>
  <c r="G10" i="21"/>
  <c r="C47" i="21"/>
  <c r="E47" i="21"/>
  <c r="F10" i="21"/>
  <c r="H49" i="21"/>
  <c r="C51" i="21" s="1"/>
  <c r="H14" i="21"/>
  <c r="E45" i="21"/>
  <c r="G13" i="21"/>
  <c r="H10" i="21"/>
  <c r="C43" i="21"/>
  <c r="C45" i="21"/>
  <c r="G47" i="21"/>
  <c r="H51" i="21"/>
  <c r="C58" i="21" s="1"/>
  <c r="H58" i="21" s="1"/>
  <c r="C76" i="21" s="1"/>
  <c r="C78" i="21" s="1"/>
  <c r="H79" i="21" s="1"/>
  <c r="H82" i="21" s="1"/>
  <c r="E43" i="21"/>
  <c r="G43" i="21"/>
  <c r="F13" i="21"/>
  <c r="H13" i="21"/>
  <c r="G45" i="21"/>
  <c r="J33" i="12"/>
  <c r="L33" i="12" s="1"/>
  <c r="L25"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<sst xmlns="http://schemas.openxmlformats.org/spreadsheetml/2006/main" count="938" uniqueCount="550">
  <si>
    <t>$</t>
  </si>
  <si>
    <t>Local</t>
  </si>
  <si>
    <t>1000</t>
  </si>
  <si>
    <t>State</t>
  </si>
  <si>
    <t>Intermediate</t>
  </si>
  <si>
    <t>2000</t>
  </si>
  <si>
    <t>Federal</t>
  </si>
  <si>
    <t>1000 Schoolwide Project</t>
  </si>
  <si>
    <t>Employee</t>
  </si>
  <si>
    <t>Purchased</t>
  </si>
  <si>
    <t>Salaries</t>
  </si>
  <si>
    <t>Supplies</t>
  </si>
  <si>
    <t>Other</t>
  </si>
  <si>
    <t>6300, 6400,</t>
  </si>
  <si>
    <t>1000 Instruction</t>
  </si>
  <si>
    <t xml:space="preserve">1 to </t>
  </si>
  <si>
    <t>(Must be included on page 1)</t>
  </si>
  <si>
    <t>1.</t>
  </si>
  <si>
    <t>2.</t>
  </si>
  <si>
    <t xml:space="preserve">    TOTAL</t>
  </si>
  <si>
    <t>1220  IDEA, Part B</t>
  </si>
  <si>
    <t>1230  Johnson-O'Malley</t>
  </si>
  <si>
    <t>1400  Vocational Education</t>
  </si>
  <si>
    <t>1425  Adult Basic Education</t>
  </si>
  <si>
    <t>1430  Chemical Abuse Prevention Programs</t>
  </si>
  <si>
    <t>1435  Academic Contests</t>
  </si>
  <si>
    <t>1460  Environmental Special Plate</t>
  </si>
  <si>
    <t>Totals</t>
  </si>
  <si>
    <t>Budget</t>
  </si>
  <si>
    <t>%</t>
  </si>
  <si>
    <t>Increase/</t>
  </si>
  <si>
    <t>1290  Medicaid Reimbursement</t>
  </si>
  <si>
    <t>1410  Early Childhood Block Grant</t>
  </si>
  <si>
    <t>3000</t>
  </si>
  <si>
    <t>4000</t>
  </si>
  <si>
    <t>1310-1399  Other Federal Projects</t>
  </si>
  <si>
    <t>1465  Charter School Stimulus Fund</t>
  </si>
  <si>
    <t>1300  Charter School Implementation Proj. (Stimulus)</t>
  </si>
  <si>
    <t>Version</t>
  </si>
  <si>
    <t>Proposed</t>
  </si>
  <si>
    <t>Adopted</t>
  </si>
  <si>
    <t>Revised</t>
  </si>
  <si>
    <t>Date</t>
  </si>
  <si>
    <t>Subtotal (lines 16-26)</t>
  </si>
  <si>
    <t>d.b.a. (as applicable)</t>
  </si>
  <si>
    <t>Expenses</t>
  </si>
  <si>
    <t xml:space="preserve">Employee </t>
  </si>
  <si>
    <t>3.</t>
  </si>
  <si>
    <t>4.</t>
  </si>
  <si>
    <t>5.</t>
  </si>
  <si>
    <t xml:space="preserve">   2100 Students </t>
  </si>
  <si>
    <t>1240  Workforce Investment Act</t>
  </si>
  <si>
    <t xml:space="preserve">Indicate amounts budgeted in Project 1020 for the following: </t>
  </si>
  <si>
    <t>Telephone:</t>
  </si>
  <si>
    <t>Email:</t>
  </si>
  <si>
    <t xml:space="preserve">Employee  </t>
  </si>
  <si>
    <t xml:space="preserve">Number of </t>
  </si>
  <si>
    <t>Subtotal (lines 1-14)</t>
  </si>
  <si>
    <t>Compensatory Instruction Project - 1072</t>
  </si>
  <si>
    <t>ELL Compensatory Instruction</t>
  </si>
  <si>
    <t xml:space="preserve">   2200 Instruction</t>
  </si>
  <si>
    <t>300 Special Education Disability Title 8 PL 103-382 Add-On</t>
  </si>
  <si>
    <t>1450  Gifted Education</t>
  </si>
  <si>
    <t>0196  Equipment</t>
  </si>
  <si>
    <t xml:space="preserve">  2100 Students</t>
  </si>
  <si>
    <t xml:space="preserve">  2200 Instruction</t>
  </si>
  <si>
    <t>1100-1130  ESEA Title I-Helping Disadvantaged Children</t>
  </si>
  <si>
    <t>1140-1150  ESEA Title II-Prof. Dev. And Technology</t>
  </si>
  <si>
    <t>1160  ESEA Title IV-21st Century Schools</t>
  </si>
  <si>
    <t>1170-1180  ESEA Title V-Promote Informed Parent Choice</t>
  </si>
  <si>
    <t>1190  ESEA Title III-Limited Eng. &amp; Immigrant Students</t>
  </si>
  <si>
    <t>1200  ESEA Title VII-Indian Education</t>
  </si>
  <si>
    <t>1210  ESEA Title VI-Flexibility and Accountability</t>
  </si>
  <si>
    <t>1250  AEA-Adult Education</t>
  </si>
  <si>
    <t>1260-1270  Vocational Education-Basic Grants</t>
  </si>
  <si>
    <t>1280  ESEA Title X-Homeless Education</t>
  </si>
  <si>
    <t>1420  Extended School Year-Pupils with Disabilities</t>
  </si>
  <si>
    <t>2100 Students</t>
  </si>
  <si>
    <t>2200 Instruction</t>
  </si>
  <si>
    <t>300 Special Ed.Disability Title 8 PL 103-382 Add-On</t>
  </si>
  <si>
    <t>Total</t>
  </si>
  <si>
    <t>Schoolwide</t>
  </si>
  <si>
    <t>Instructional Improvement</t>
  </si>
  <si>
    <t>550 K-3 Reading</t>
  </si>
  <si>
    <t>Page</t>
  </si>
  <si>
    <t>Reference</t>
  </si>
  <si>
    <t>General</t>
  </si>
  <si>
    <t>Cover</t>
  </si>
  <si>
    <t xml:space="preserve">Instructional Improvement Project </t>
  </si>
  <si>
    <t>Compensatory Instruction Project</t>
  </si>
  <si>
    <t>Classroom Site Project</t>
  </si>
  <si>
    <t>Program 550</t>
  </si>
  <si>
    <t>Instruction</t>
  </si>
  <si>
    <t xml:space="preserve">The information on the Budget Summary is self-populating and will be automatically brought forward from the other pages of the Budget. </t>
  </si>
  <si>
    <t>Prior</t>
  </si>
  <si>
    <t xml:space="preserve">This cell will only accept entries of 9 digits. Do not include any slashes, dashes, etc. Enter the school's CTD number plus 3 zeros. </t>
  </si>
  <si>
    <t>13__  Impact Aid</t>
  </si>
  <si>
    <t>6300, 6400, 6500</t>
  </si>
  <si>
    <t>Total (lines 1-7)</t>
  </si>
  <si>
    <t>Schools should budget total expenses for the disability classifications defined in A.R.S. §15-761.</t>
  </si>
  <si>
    <t>Subtotal (lines 15 and 27-31)</t>
  </si>
  <si>
    <t>Total (lines 32-37)</t>
  </si>
  <si>
    <t>1456 College Credit Exam Incentives</t>
  </si>
  <si>
    <t>College Credit Exam Incentives</t>
  </si>
  <si>
    <t xml:space="preserve">4. Percentage increase </t>
  </si>
  <si>
    <t>Percentage increase</t>
  </si>
  <si>
    <t>http://www.azed.gov/mowr/</t>
  </si>
  <si>
    <t>AzEDS/ADM Data Coordinator</t>
  </si>
  <si>
    <t>Business Manager</t>
  </si>
  <si>
    <t>Charter Representative</t>
  </si>
  <si>
    <t>Executive Assistant to Charter Representative</t>
  </si>
  <si>
    <t>Governing Board Member</t>
  </si>
  <si>
    <t>SPED Data Coordinator</t>
  </si>
  <si>
    <t>Prefix</t>
  </si>
  <si>
    <t>Miss</t>
  </si>
  <si>
    <t>Mr.</t>
  </si>
  <si>
    <t>Ms.</t>
  </si>
  <si>
    <t>Mrs.</t>
  </si>
  <si>
    <t>Dr.</t>
  </si>
  <si>
    <t>AZ Dept of Juvenile Corrections (AZDJC)</t>
  </si>
  <si>
    <t>BocaVox (Maestro)</t>
  </si>
  <si>
    <t>Hane Solutions (SchoolDex)</t>
  </si>
  <si>
    <t>InfiniteCampus (InfiniteCampus)</t>
  </si>
  <si>
    <t>Strongmind (Strongmind)</t>
  </si>
  <si>
    <t>Tyler Technologies (Schoolmaster)</t>
  </si>
  <si>
    <t>Tyler Technologies (Tyler V10)</t>
  </si>
  <si>
    <t>Student Information System (SIS) Vendor</t>
  </si>
  <si>
    <t>Fill in the contact information for all positions listed on this tab. If any of the positions do not exist at your school, please fill in the appropriate person to contact related to that topic.</t>
  </si>
  <si>
    <t>County</t>
  </si>
  <si>
    <t>PSD</t>
  </si>
  <si>
    <t>K-8</t>
  </si>
  <si>
    <t>9-12</t>
  </si>
  <si>
    <t>-</t>
  </si>
  <si>
    <t>Difference</t>
  </si>
  <si>
    <t>=</t>
  </si>
  <si>
    <t>x</t>
  </si>
  <si>
    <t>+</t>
  </si>
  <si>
    <t>K-3 Reading</t>
  </si>
  <si>
    <t>K-3</t>
  </si>
  <si>
    <t>English Learners (ELL)</t>
  </si>
  <si>
    <t>Hearing Impairment (HI)</t>
  </si>
  <si>
    <t>Multiple Disabilities Severe Sensory Impairment</t>
  </si>
  <si>
    <t>Orthopedic Impairment (Resource)</t>
  </si>
  <si>
    <t>Orthopedic Impairment (Self Contained)</t>
  </si>
  <si>
    <t>Preschool-Severe Delay (P-SD)</t>
  </si>
  <si>
    <t>Emotional Disability (Private)</t>
  </si>
  <si>
    <t>Moderate Intellectual Disability (MOID)</t>
  </si>
  <si>
    <t>Visual Impairment (VI)</t>
  </si>
  <si>
    <t>Non-AOI</t>
  </si>
  <si>
    <t>AOI FT*</t>
  </si>
  <si>
    <t>AOI PT*</t>
  </si>
  <si>
    <t>*AOI counts shown reflect applicable full-time or part-time funding ratio.</t>
  </si>
  <si>
    <t>ELL</t>
  </si>
  <si>
    <t>HI</t>
  </si>
  <si>
    <t>MD-R, A-R, SID-R</t>
  </si>
  <si>
    <t>MD-SC, A-SC, SID-SC</t>
  </si>
  <si>
    <t>P-SD</t>
  </si>
  <si>
    <t>MOID</t>
  </si>
  <si>
    <t>VI</t>
  </si>
  <si>
    <t>DD, ED, MIID, SLD, SLI, OHI</t>
  </si>
  <si>
    <t>The organizational structure or management agreement of your charter holder requires your charter holder or charter school to contract with a specific management company.</t>
  </si>
  <si>
    <t xml:space="preserve">Check box if the school has been approved to provide 200 days of instruction by ADE. </t>
  </si>
  <si>
    <t>X</t>
  </si>
  <si>
    <t>Charter School</t>
  </si>
  <si>
    <t>Charter's website address</t>
  </si>
  <si>
    <t xml:space="preserve">    </t>
  </si>
  <si>
    <t>MD-R (Multiple Disabilities-Resource), A-R (Autism-Resource), and SID-R (Severe Intellectual Disability-Resource)</t>
  </si>
  <si>
    <t>MD-SC (Multiple Disabilities-Self-Contained), A-SC (Autism-Self-Contained), and SID-SC (Severe Intellectual Disability-Self-Contained)</t>
  </si>
  <si>
    <t>DD (Developmental Delay for children in kindergarten through age 10), ED (Emotional Disabilities), MIID (Mild Intellectual Disability), SLD (Specific Learning Disability), SLI (Speech/Language Impairment), and OHI (Other Health Impairments)</t>
  </si>
  <si>
    <t>(1)</t>
  </si>
  <si>
    <t>(2)</t>
  </si>
  <si>
    <t>(3)</t>
  </si>
  <si>
    <t>MD-R, A-R, and SID-R     (1)</t>
  </si>
  <si>
    <t>MD-SC, A-SC, and SID-SC     (2)</t>
  </si>
  <si>
    <t>DD, ED, MIID, SLD, SLI, and OHI     (3)</t>
  </si>
  <si>
    <t>English Language Learner Project - 1071</t>
  </si>
  <si>
    <t>English Language Learner</t>
  </si>
  <si>
    <t>English Language Learner Project</t>
  </si>
  <si>
    <t>State of Arizona</t>
  </si>
  <si>
    <t xml:space="preserve">Charter School Annual Budget </t>
  </si>
  <si>
    <t>By the Governing Board</t>
  </si>
  <si>
    <t>Charter school</t>
  </si>
  <si>
    <t>Signed</t>
  </si>
  <si>
    <t>Title</t>
  </si>
  <si>
    <t>Charter contact information</t>
  </si>
  <si>
    <t xml:space="preserve">  County</t>
  </si>
  <si>
    <t>Federal and State projects</t>
  </si>
  <si>
    <t>Special education programs by type</t>
  </si>
  <si>
    <t>Proposed ratios for</t>
  </si>
  <si>
    <t>Selected expenses by type</t>
  </si>
  <si>
    <t>for food service expenses</t>
  </si>
  <si>
    <t>State equalization assistance budgeted</t>
  </si>
  <si>
    <t>Special education programs</t>
  </si>
  <si>
    <t>Expenses by project</t>
  </si>
  <si>
    <t>Support level weights to be used for:</t>
  </si>
  <si>
    <t>Average teacher salary</t>
  </si>
  <si>
    <t>Extension</t>
  </si>
  <si>
    <t>Poverty Coordinator</t>
  </si>
  <si>
    <t>Curriculum Coordinator</t>
  </si>
  <si>
    <t>Business Consultant</t>
  </si>
  <si>
    <t>Accounting Information System</t>
  </si>
  <si>
    <t>Information Technology (IT) Director</t>
  </si>
  <si>
    <t>Is the Charter exempt from the Uniform System of Financial Records for Charter Schools (USFRCS)?</t>
  </si>
  <si>
    <t>Yes</t>
  </si>
  <si>
    <t>No</t>
  </si>
  <si>
    <t>Instructional Improvement Project</t>
  </si>
  <si>
    <r>
      <t>Total I</t>
    </r>
    <r>
      <rPr>
        <sz val="10"/>
        <rFont val="Arial"/>
        <family val="2"/>
      </rPr>
      <t xml:space="preserve">nstructional </t>
    </r>
    <r>
      <rPr>
        <sz val="10"/>
        <rFont val="Arial"/>
        <family val="2"/>
      </rPr>
      <t>Imp</t>
    </r>
    <r>
      <rPr>
        <sz val="10"/>
        <rFont val="Arial"/>
        <family val="2"/>
      </rPr>
      <t>rovement (lines 1-4)</t>
    </r>
  </si>
  <si>
    <t>Select from drop-down</t>
  </si>
  <si>
    <t>Assessments Coordinator</t>
  </si>
  <si>
    <t>Capital acquisitions</t>
  </si>
  <si>
    <t>special education</t>
  </si>
  <si>
    <t>Schools should budget for K-3 Reading Program expenses in program code 550. 
The State Board of Education must give approval to a school before any portion of the monies generated by the K-3 Reading support level weight may be distributed to the school. A.R.S. §15-211. Contact ADE's Move on When Reading program area with questions concerning the K-3 Reading plan requirement and approval status at:</t>
  </si>
  <si>
    <t>1100-1399 Federal projects</t>
  </si>
  <si>
    <t>1400-1499 State projects</t>
  </si>
  <si>
    <t>Charter name</t>
  </si>
  <si>
    <t>Charter school contact employee:</t>
  </si>
  <si>
    <t>Type the date as MM/DD/YYYY</t>
  </si>
  <si>
    <t>School official signature</t>
  </si>
  <si>
    <t>School official (typed name)</t>
  </si>
  <si>
    <t>Average teacher salary (A.R.S. §15-189.05)</t>
  </si>
  <si>
    <t>CTDS number</t>
  </si>
  <si>
    <t>First name</t>
  </si>
  <si>
    <t>Last name</t>
  </si>
  <si>
    <t>Email address</t>
  </si>
  <si>
    <t>Telephone number</t>
  </si>
  <si>
    <t>services</t>
  </si>
  <si>
    <t>year</t>
  </si>
  <si>
    <t>benefits</t>
  </si>
  <si>
    <t>Prior year</t>
  </si>
  <si>
    <t>Budget year</t>
  </si>
  <si>
    <t>Gifted education</t>
  </si>
  <si>
    <t>Remedial education</t>
  </si>
  <si>
    <t>Career education</t>
  </si>
  <si>
    <t>Total all disability classifications</t>
  </si>
  <si>
    <t>Teacher compensation increases</t>
  </si>
  <si>
    <t>Class size reduction</t>
  </si>
  <si>
    <t>Dropout prevention programs</t>
  </si>
  <si>
    <t>Instructional improvement programs</t>
  </si>
  <si>
    <t>Audit services</t>
  </si>
  <si>
    <t>Classroom instruction</t>
  </si>
  <si>
    <t>personnel</t>
  </si>
  <si>
    <t>Total expenses</t>
  </si>
  <si>
    <t>Student count</t>
  </si>
  <si>
    <t>Support level weight</t>
  </si>
  <si>
    <t>Total weighted student count</t>
  </si>
  <si>
    <t>Base support level weights (Group A weights)  [A.R.S. §§15-943 and 15-185]</t>
  </si>
  <si>
    <t xml:space="preserve">Individual charter school counts </t>
  </si>
  <si>
    <t>PSD-12 student count</t>
  </si>
  <si>
    <t>Non-AOI student count</t>
  </si>
  <si>
    <t>Full-time AOI student count</t>
  </si>
  <si>
    <t>Part-time AOI student count</t>
  </si>
  <si>
    <t xml:space="preserve">    Total student count</t>
  </si>
  <si>
    <t>The governing body of your charter holder has identical membership to another charter holder in this State.</t>
  </si>
  <si>
    <t>Your charter holder is a subsidiary of a corporation that has other subsidiaries that are charter holders in this State.</t>
  </si>
  <si>
    <t>Your charter holder holds more than 1 charter in this State.</t>
  </si>
  <si>
    <t>Charter holder total charter school counts (complete only if 1 or more criteria above are checked)</t>
  </si>
  <si>
    <t>Enter total student counts for PSD, K-8, and 9-12 students for all of the charter holder's affiliated charter schools. This table must be completed unless all boxes have been unchecked to indicate that the charter holder has no affiliated charter schools.</t>
  </si>
  <si>
    <r>
      <t>Support level weights (Group B weights)</t>
    </r>
    <r>
      <rPr>
        <b/>
        <strike/>
        <sz val="12"/>
        <rFont val="Arial"/>
        <family val="2"/>
      </rPr>
      <t xml:space="preserve"> </t>
    </r>
    <r>
      <rPr>
        <b/>
        <sz val="12"/>
        <rFont val="Arial"/>
        <family val="2"/>
      </rPr>
      <t>[A.R.S. §§15-943, 15-185 &amp; 15-808]</t>
    </r>
  </si>
  <si>
    <t>Student count add-ons</t>
  </si>
  <si>
    <t>AOI full-time student count</t>
  </si>
  <si>
    <t>AOI part-time student count</t>
  </si>
  <si>
    <t>Base support level adjustments [A.R.S. §§15-943 &amp; 15-185]</t>
  </si>
  <si>
    <t>Decrease for federal and State monies received for M&amp;O purposes</t>
  </si>
  <si>
    <t xml:space="preserve">1. Indian School Equalization Program entitlements received for:
    • Instructional costs (basic program, gifted &amp; talented programs, and small school adjustment)
    • Bilingual instruction costs (supplemental programs–bilingual program)
    • Exceptional child education costs (exceptional child programs)
    • Student Transportation Fund costs
    • School Board Training Fund costs (school board supplement)
Indian School Equalization Program entitlements received for boarding costs, dormitory costs, intense residential guidance costs, and pre-kindergarten costs would not be subject to the reduction.
2. Administrative cost grant entitlements received.
</t>
  </si>
  <si>
    <t>Increase for allocation of additional funding [2016 Prop 123 &amp; Laws 2015, 1st S.S., Ch.1, §6]</t>
  </si>
  <si>
    <t>School's percent of state-wide weighted student count</t>
  </si>
  <si>
    <t>Base support level weights calculation [A.R.S. §§15-943 and 15-185]</t>
  </si>
  <si>
    <t xml:space="preserve">Table 1 - Individual charter school counts </t>
  </si>
  <si>
    <t>Student count 0.001-99.999</t>
  </si>
  <si>
    <t>Student count 100.000-499.999</t>
  </si>
  <si>
    <t>Student count constant</t>
  </si>
  <si>
    <t>Weight adjustment factor</t>
  </si>
  <si>
    <t>Support level weight increase</t>
  </si>
  <si>
    <t>Support level weight constant</t>
  </si>
  <si>
    <t xml:space="preserve">    Support level weight </t>
  </si>
  <si>
    <t>Student count 500.000-599.999</t>
  </si>
  <si>
    <t xml:space="preserve">Student count 600.000 or more </t>
  </si>
  <si>
    <t>Student Count 0.001-99.999</t>
  </si>
  <si>
    <t>Support level weight from Table 1</t>
  </si>
  <si>
    <t>Support level weight from Table 2 (based on small school weight eligibility)</t>
  </si>
  <si>
    <t xml:space="preserve"> Base support level amounts from total K-3 and total K-3 Reading weighted student counts</t>
  </si>
  <si>
    <t>Estimated allocation of additional Prop 123 funding</t>
  </si>
  <si>
    <t xml:space="preserve">The version of the budget being submitted on the cover page is formatted with a drop-down menu. Select the appropriate choice from the menu: Proposed, Adopted, or Revised (including the revision number). Enter only menu choices in the cell.
All information on the cover page must be completed/updated when the proposed, adopted, or revised budget is printed out for the Governing Board to sign. All information, excluding the revenue information, must also be updated when the budget is revised.
</t>
  </si>
  <si>
    <t>Estimated revenues</t>
  </si>
  <si>
    <t>In accordance with A.R.S. §15-189.05, a school's budget shall include the prominent display of the average salary of all teachers the school employed for the budget and prior years, and the increase in the average salary of all teachers the school employed for the budget year reported in dollars and percentage. Schools must also prominently post this information on their home page separately from its budget. The statute does not provide a definition of a teacher. Each charter should be consistent in the type of salary information included in this table from year to year. An optional comment box is available to provide any additional detail regarding the average teacher salary calculation. Schools should revise the average teacher salary information anytime it submits a revised budget to ADE.</t>
  </si>
  <si>
    <t>Charter contact info</t>
  </si>
  <si>
    <t>Employee benefits</t>
  </si>
  <si>
    <t>Special education programs by type, line 1</t>
  </si>
  <si>
    <t>See USFRCS page III-B-1 for guidance on using the Instructional Improvement Project (Project 1020).</t>
  </si>
  <si>
    <t>Instructional Improvement Project, lines 3 and 4</t>
  </si>
  <si>
    <t>Budget summary</t>
  </si>
  <si>
    <t>Total expenses (lines 9 and 10)</t>
  </si>
  <si>
    <t>Total expenses (lines 20 and 21)</t>
  </si>
  <si>
    <t>Edupoint (Synergy)</t>
  </si>
  <si>
    <t>100 Regular education</t>
  </si>
  <si>
    <t>Support services</t>
  </si>
  <si>
    <t xml:space="preserve">   2300 General administration </t>
  </si>
  <si>
    <t xml:space="preserve">   2400 School administration </t>
  </si>
  <si>
    <t xml:space="preserve">   2500 Central services</t>
  </si>
  <si>
    <t xml:space="preserve">   2600 Operation &amp; maintenance of plant</t>
  </si>
  <si>
    <t xml:space="preserve">   2900 Other support services</t>
  </si>
  <si>
    <t>3000 Operation of noninstructional services</t>
  </si>
  <si>
    <t>4000 Facilities acquisition &amp; construction</t>
  </si>
  <si>
    <t>5000 Debt service</t>
  </si>
  <si>
    <t>610 School-sponsored cocurricular activities</t>
  </si>
  <si>
    <t>620 School-sponsored athletics</t>
  </si>
  <si>
    <t>630, 700, 800, 900 Other programs</t>
  </si>
  <si>
    <t>200 Special education</t>
  </si>
  <si>
    <t>400 Pupil transportation</t>
  </si>
  <si>
    <t>530 Dropout prevention programs</t>
  </si>
  <si>
    <t>540 Joint career &amp; technical ed. &amp; vocational ed. center</t>
  </si>
  <si>
    <t>decrease</t>
  </si>
  <si>
    <t>ELL incremental costs</t>
  </si>
  <si>
    <t>ELL compensatory instruction</t>
  </si>
  <si>
    <t>Vocational and technical ed.</t>
  </si>
  <si>
    <t>Teacher-pupil</t>
  </si>
  <si>
    <t>Staff-pupil</t>
  </si>
  <si>
    <t>2100 Support services—students</t>
  </si>
  <si>
    <t>2200 Support services—instruction</t>
  </si>
  <si>
    <t>3300 Community services operations</t>
  </si>
  <si>
    <t>2300 Support services—general administration</t>
  </si>
  <si>
    <t>0191  Land and land improvements</t>
  </si>
  <si>
    <t>0192  Site improvements</t>
  </si>
  <si>
    <t>0194  Buildings and building improvements</t>
  </si>
  <si>
    <t>0198  Construction in progress</t>
  </si>
  <si>
    <t xml:space="preserve">  2300 General administration</t>
  </si>
  <si>
    <t xml:space="preserve">  2400 School administration</t>
  </si>
  <si>
    <t xml:space="preserve">  2500 Central services</t>
  </si>
  <si>
    <t xml:space="preserve">  2600 Operation &amp; maintenance of plant</t>
  </si>
  <si>
    <t xml:space="preserve">  2900 Other support services</t>
  </si>
  <si>
    <t>Program 260 subtotal (lines 1-8)</t>
  </si>
  <si>
    <t>430 Pupil Transportation—ELL incremental costs</t>
  </si>
  <si>
    <t xml:space="preserve">  2700 Student transportation</t>
  </si>
  <si>
    <t>Program 265 subtotal (lines 12-19)</t>
  </si>
  <si>
    <t>2300 General administration</t>
  </si>
  <si>
    <t>2400 School administration</t>
  </si>
  <si>
    <t>2500 Central services</t>
  </si>
  <si>
    <t>2600 Operation &amp; maintenance of plant</t>
  </si>
  <si>
    <t>2900 Other support services</t>
  </si>
  <si>
    <t>Regular education subtotal</t>
  </si>
  <si>
    <t>Special education subtotal</t>
  </si>
  <si>
    <t>540 Joint career &amp; tech. ed. &amp; voc. ed. center</t>
  </si>
  <si>
    <t>Federal projects</t>
  </si>
  <si>
    <t>State projects</t>
  </si>
  <si>
    <t>budgeted for food service, function 3100:</t>
  </si>
  <si>
    <t>260 Special education—ELL incremental costs</t>
  </si>
  <si>
    <t>265 Special education—ELL compensatory instruction</t>
  </si>
  <si>
    <t>435 Pupil transportation—ELL compensatory instruction</t>
  </si>
  <si>
    <t xml:space="preserve">Enter the amount of State equalization assistance </t>
  </si>
  <si>
    <t>Table 2 - Charter holder total charter school counts (only calculated if 1 or more criteria are checked on the Data Entry tab)</t>
  </si>
  <si>
    <t>Federal and State projects, line 37</t>
  </si>
  <si>
    <t>State equalization assistance budgeted for food service expenses</t>
  </si>
  <si>
    <t>Instructional Improvement Project monies spent for dropout prevention programs and instructional improvement programs must be spent for maintenance and operation purposes only.</t>
  </si>
  <si>
    <t>See USFRCS page III-B-2 for guidance on using the English Language Learner Project (Project 1071). To efficiently record English Language Learner expenses, schools should be using program code 260, special education—ELL incremental costs and program 430, pupil transportation—ELL incremental costs, as applicable.</t>
  </si>
  <si>
    <t>See USFRCS page III-B-2 for guidance on using the Compensatory Instruction Project (Project 1072). To efficiently record English language learner and compensatory instruction expenses, schools should be using program codes 265, special education—ELL compensatory instruction and program 435, pupil transportation—ELL compensatory instruction, as applicable.</t>
  </si>
  <si>
    <t>Pearson (Connexus)</t>
  </si>
  <si>
    <t>MediaNet Solutions (e-IEP PRO)</t>
  </si>
  <si>
    <t>JupiterEd (JupiterEd)</t>
  </si>
  <si>
    <t>Mesa Distance Learning Program (MDLP)</t>
  </si>
  <si>
    <t>Debt service</t>
  </si>
  <si>
    <t>Interest 6850</t>
  </si>
  <si>
    <t>Additional information</t>
  </si>
  <si>
    <t>Classroom Site Project 1010</t>
  </si>
  <si>
    <t>0181  Intangible assets</t>
  </si>
  <si>
    <t>Expenses budgeted for transporting students with disabilities (as defined in A.R.S. §15-761) unique to the IEP</t>
  </si>
  <si>
    <t>Special education programs by type, line 9</t>
  </si>
  <si>
    <t>Number of full-time equivalent certified teachers</t>
  </si>
  <si>
    <t>Number of full-time equivalent noncertified teachers</t>
  </si>
  <si>
    <t>Number of full-time equivalent contract teachers</t>
  </si>
  <si>
    <t xml:space="preserve">Estimated full-time equivalent teachers </t>
  </si>
  <si>
    <t>[A.R.S. §15-903(E)(2)]</t>
  </si>
  <si>
    <t>Full-time equivalent teachers</t>
  </si>
  <si>
    <t>Report the estimated full-time equivalent (FTE) certified, noncertified, and contract teachers on lines 1-3, respectively. These amounts may include fractional FTE for part-time teachers. A teacher should be reported on only 1 line. If a teacher is both a certified and contract teacher, report only the applicable FTE on line 3. Do not include instructional aides or assistants.</t>
  </si>
  <si>
    <t>Schools should budget for total transportation expenses within program 400 for transporting students whose IEPs will require transportation as necessary for the provision of free and appropriate public education (FAPE).</t>
  </si>
  <si>
    <t>Total Classroom Site Project (lines 1-5)</t>
  </si>
  <si>
    <t>Arizona Industry Credentials Incentive</t>
  </si>
  <si>
    <t>14__  Arizona Industry Credentials Incentive</t>
  </si>
  <si>
    <t>This line should be left blank for budget adoption. If a school provides instructional time in a remote setting beyond the thresholds prescribed in A.R.S. §15-901.08(C)(3)(b)(i) in any school year, ADE shall calculate the total percentage of remote instructional time that exceeded the threshold and fund that percentage of the base support level at 95 percent of the base support level that would otherwise be calculated for the school. ADE will notify schools of the adjustment amount, if any. Enter the amount provided by ADE, if any, as a negative number.</t>
  </si>
  <si>
    <t>Edupoint (Edupoint)</t>
  </si>
  <si>
    <t>Include the total of federal and State project expenses (project codes 1100 through 1499 from page 2) on line 37. Schools should not include federal and State project expenses with other Schoolwide Project expenses on lines 1 through 36.</t>
  </si>
  <si>
    <t xml:space="preserve">Audit services expense should be the total audit costs to be incurred during the budget year.
Classroom instruction expenses should be the total of expenses budgeted in function code 1000 for program codes 100, 200, and 500 for the budget year.
</t>
  </si>
  <si>
    <t>Redemption of principal</t>
  </si>
  <si>
    <t>Property disbursements</t>
  </si>
  <si>
    <t>Summary of significant changes</t>
  </si>
  <si>
    <t>Updated contribution rates.</t>
  </si>
  <si>
    <t>PowerSchool (PowerSchool)</t>
  </si>
  <si>
    <t>1000 Schoolwide Project and 1500-1999 Other Special Projects</t>
  </si>
  <si>
    <t>1020 Instructional Improvement Project (from page 2, line 5)</t>
  </si>
  <si>
    <t>1071 English Language Learner Project (from page 4, line 11)</t>
  </si>
  <si>
    <t>1072 Compensatory Instruction Project (from page 4, line 22)</t>
  </si>
  <si>
    <t>Total capital acquisitions (lines 1-6)</t>
  </si>
  <si>
    <t>Total capital acquisitions, if any, budgeted on lines 1-6 above for the K-3 Reading Program</t>
  </si>
  <si>
    <r>
      <t xml:space="preserve">Please </t>
    </r>
    <r>
      <rPr>
        <b/>
        <sz val="10"/>
        <rFont val="Arial"/>
        <family val="2"/>
      </rPr>
      <t>uncheck</t>
    </r>
    <r>
      <rPr>
        <sz val="10"/>
        <rFont val="Arial"/>
        <family val="2"/>
      </rPr>
      <t xml:space="preserve"> each box that </t>
    </r>
    <r>
      <rPr>
        <b/>
        <sz val="10"/>
        <rFont val="Arial"/>
        <family val="2"/>
      </rPr>
      <t>does not</t>
    </r>
    <r>
      <rPr>
        <sz val="10"/>
        <rFont val="Arial"/>
        <family val="2"/>
      </rPr>
      <t xml:space="preserve"> apply. Unchecking a box indicates the criteria does not apply to the charter school. If all boxes are unchecked, the small school weight adjustment does not apply to the school. 
For any boxes that are checked, please provide the required additional information described. Failure to provide complete and accurate information may result in inaccurate State aid calculations and future corrections/ADM audit findings.  
Charter schools not sponsored by the Arizona State Board for Charter Schools should contact ADE's School Finance payment team by email at SFPaymentTeam@azed.gov.</t>
    </r>
  </si>
  <si>
    <t xml:space="preserve">Enter the amount received from federal or State agencies for basic maintenance and operation of the school (except for ESEA Title VIII). Do not include federal or State grants that are received for a specific purpose. (A.R.S. §15-185)
In accordance with A.R.S. §15-185(P), the Auditor General has determined that the following federal monies meet the definition of “monies intended for the basic maintenance and operations of the school” (as referred to in that subsection), that must be used to reduce the base support level and State equalization assistance, as directed by A.R.S. §15-185(D). This list is not necessarily all-inclusive. The Auditor General may determine in the future that other federal or State grants meet the definition of “monies intended for the basic maintenance and operations of the school.”
</t>
  </si>
  <si>
    <t xml:space="preserve">Only report budgeted expenses for 1000-Schoolwide Project and 1500-1999-Other Special Projects on lines 1 through 32. Do not include the Classroom Site Project (project code 1010), Instructional Improvement Project (project code 1020), Structured English Immersion Project (project code 1071), Compensatory Instruction Project (project code 1072) or Federal and State projects (project codes 1100 through 1499) expenses.
Report budgeted expenses for programs 200-special education and 270-vocational and technical education on lines 16-27. Report budgeted expenses for program 400-pupil transportation on line 28.
Do not report depreciation expense on the budget forms. Only report purchases of capital assets (land and land improvements, site improvements, buildings and building improvements, equipment, and construction in progress) in the capital acquisitions section of page 2. 
</t>
  </si>
  <si>
    <t xml:space="preserve">Schools that receive monies from the Arizona Industry Credentials Incentive Project per A.R.S. §15-249.15 should deposit them as a separate State project using project object code beginning with 14XX. Monies received must be used for instructional costs and professional development for a career technical education program teacher to become a certifying professional for an approved certificate, credential or license; to offset the students' cost of certification, credentialing or licensure; for developmental costs related to creating, expanding or improving an approved site of a certificate, credential or license career technical program or course; for instructional hardware, software or supplies required for the certification, credentialing or licensure; for career exploration in any school grade and awareness activities for parents, students and the community for the approved sectors. 
 </t>
  </si>
  <si>
    <t>Schools budgeting for special education expenses in program code 200 should report amounts allocated by program type on page 2. Supporting documentation should be retained for the allocation of expenses budgeted for individual special education programs.</t>
  </si>
  <si>
    <t>Classroom Site Project budgeted property payments</t>
  </si>
  <si>
    <t>Classroom Site Project 1010 budgeted property payments</t>
  </si>
  <si>
    <t>1010 Classroom Site Project (from page 3, line 6)</t>
  </si>
  <si>
    <t xml:space="preserve">Enter the increase in the capital asset accounts (intangible assets, land and land improvements, site improvements, buildings and building improvements, equipment, and construction in progress) for assets to be acquired by purchase, lease purchase, or construction for all projects.
If the school budgets for capital acquisitions related to the K-3 Reading Program, include the increase in the capital asset accounts for those acquisitions by asset type on lines 1 through 6. The total of all capital acquisitions for the K-3 Reading Program should be reported on line 8.
</t>
  </si>
  <si>
    <r>
      <t>Schools that receive monies from the college credit by examination incentive program per A.R.S. §15-249.06 should deposit them in Project 1456</t>
    </r>
    <r>
      <rPr>
        <sz val="10"/>
        <rFont val="Calibri"/>
        <family val="2"/>
      </rPr>
      <t>—</t>
    </r>
    <r>
      <rPr>
        <sz val="10"/>
        <rFont val="Arial"/>
        <family val="2"/>
      </rPr>
      <t>College Credit Exam Incentives. Schools must distribute at least 50 percent of the bonus monies received from this program to the classroom teacher for each student who passes a qualifying exam and to other teachers of relevant subjects who instructed that student, including but not limited to teachers in the same department or subject matter that contributed to the student passing the exam, as identified by the governing body or the school principal. The remainder of any bonus monies received from this program must be allocated by the school principal on behalf of students who receive a passing score and may be used for teacher professional development or student instructional support, reimbursement of exam fees, or instructional materials.</t>
    </r>
  </si>
  <si>
    <t>Grade Levels</t>
  </si>
  <si>
    <t>Non-AOI 
Student Count</t>
  </si>
  <si>
    <t>AOI-FT 
Student Count</t>
  </si>
  <si>
    <t>AOI-PT
Student Count</t>
  </si>
  <si>
    <t>Support Level 
Weight</t>
  </si>
  <si>
    <t>Non-AOI 
Weighted Student
Count</t>
  </si>
  <si>
    <t>AOI-FT 
Weighted Student
Count</t>
  </si>
  <si>
    <t>AOI-PT
Weighted Student
Count</t>
  </si>
  <si>
    <t>Page 1 of 3</t>
  </si>
  <si>
    <t>Regular Education Weighted Student Count</t>
  </si>
  <si>
    <t xml:space="preserve">Audit Service Expense        </t>
  </si>
  <si>
    <t>Adjusted Base Support Level</t>
  </si>
  <si>
    <t>Non-AOI 
Weighted Student Count</t>
  </si>
  <si>
    <t>AOI-FT 
Weighted Student Count</t>
  </si>
  <si>
    <t>AOI-PT
Weighted Student Count</t>
  </si>
  <si>
    <t>Page 2 of 3</t>
  </si>
  <si>
    <t>Page 3 of 3</t>
  </si>
  <si>
    <t>Calculation For CAA</t>
  </si>
  <si>
    <t xml:space="preserve">Adjusted Total Charter Additional Assistance  </t>
  </si>
  <si>
    <t>Equalization Assistance</t>
  </si>
  <si>
    <t xml:space="preserve">Adjusted Base Support Level     </t>
  </si>
  <si>
    <t>Adjusted Total Charter Additional Assistance</t>
  </si>
  <si>
    <t xml:space="preserve">Equalization Assistance   </t>
  </si>
  <si>
    <t>Regular Education Unweighted Student Count</t>
  </si>
  <si>
    <t>K-3 (Reading)</t>
  </si>
  <si>
    <t>OI-R</t>
  </si>
  <si>
    <t>OI-SC</t>
  </si>
  <si>
    <r>
      <rPr>
        <b/>
        <u/>
        <sz val="10"/>
        <rFont val="Arial"/>
        <family val="2"/>
      </rPr>
      <t>Calculation For Base Support Level</t>
    </r>
  </si>
  <si>
    <t>Group B - Add On Weighted Student Count</t>
  </si>
  <si>
    <t>Total Student Count</t>
  </si>
  <si>
    <t>AOI Funding Factor</t>
  </si>
  <si>
    <t>Weighted Student Count</t>
  </si>
  <si>
    <t>Total Weighted Student Count</t>
  </si>
  <si>
    <t>Base Support Level</t>
  </si>
  <si>
    <r>
      <rPr>
        <b/>
        <sz val="10"/>
        <rFont val="Arial"/>
        <family val="2"/>
      </rPr>
      <t xml:space="preserve">Base Support Level Adjustments
</t>
    </r>
    <r>
      <rPr>
        <sz val="10"/>
        <rFont val="Arial"/>
        <family val="2"/>
      </rPr>
      <t xml:space="preserve">                                                                                                                                                                                                                  </t>
    </r>
  </si>
  <si>
    <t>K-8,UE</t>
  </si>
  <si>
    <t>Student Count</t>
  </si>
  <si>
    <t>Additional Assistance Per Student</t>
  </si>
  <si>
    <t>Additional Assistance</t>
  </si>
  <si>
    <t>Total Charter Additional Assistance</t>
  </si>
  <si>
    <t>Additional Assistance Adjustments</t>
  </si>
  <si>
    <t>Group B - Add On Unweighted Student Count</t>
  </si>
  <si>
    <t>Total Unweighted Group B Add On</t>
  </si>
  <si>
    <t>Total Weighted Group B Add On</t>
  </si>
  <si>
    <t xml:space="preserve">Add Ons </t>
  </si>
  <si>
    <t>Basic Calculations For Equalization Assistance</t>
  </si>
  <si>
    <t>Total of Unweighted Student Count</t>
  </si>
  <si>
    <t>Total of Weighted Student Count</t>
  </si>
  <si>
    <t>MD-SSI</t>
  </si>
  <si>
    <t>ED-P</t>
  </si>
  <si>
    <r>
      <t>Before the 100th day in session, schools may use estimated student counts based on actual registration of students to determine the add-on weighted counts or counts may be left blank. After the 100th day in session for all schools, the student counts to determine the add-on weighted counts should be obtained from the following ADE reports:
K-3 and K-3 Reading: ADM20</t>
    </r>
    <r>
      <rPr>
        <strike/>
        <sz val="10"/>
        <color indexed="10"/>
        <rFont val="Cambria"/>
        <family val="1"/>
      </rPr>
      <t xml:space="preserve">   </t>
    </r>
    <r>
      <rPr>
        <sz val="10"/>
        <rFont val="Arial"/>
        <family val="2"/>
      </rPr>
      <t xml:space="preserve"> 
ELL: English Learners (ELL) Students Served in Programs Under A.R.S. §15-754, ELL20          
Children with Disabilities: SPED20 </t>
    </r>
  </si>
  <si>
    <t xml:space="preserve">Adjustment for remote instructional time [A.R.S. §15-901.08] </t>
  </si>
  <si>
    <t>Support level</t>
  </si>
  <si>
    <t>A.R.S. §15-211 requires schools to submit a plan to ADE by October 1 for improving the reading proficiency of its pupils in kindergarten programs and grades 1-3. The plan must include a budget for spending monies from both the K-3 and K-3 Reading support level weights. Schools must use monies generated by the K-3 Reading weight only on instructional purposes intended to improve reading proficiency for pupils in kindergarten through 3rd grade with particular emphasis on pupils in kindergarten through 2nd grade. The K-3 Reading weight will only be included in the School's BSA 55-1 after the School's K-3 Reading Program Plan is approved by the State Board of Education. Contact ADE's Move on When Reading program area with questions at http://www.azed.gov/mowr/</t>
  </si>
  <si>
    <t>Enter the school's percentage of state-wide weighted student count as reported on its most recent Classroom Site Project Detail Report. Classroom Site Project Detail Reports can be accessed at https://schoolfinancereports.azed.gov. Amounts should be entered as a decimal. For example 0.0601% should be entered as 0.000601.</t>
  </si>
  <si>
    <t>G</t>
  </si>
  <si>
    <t xml:space="preserve">Include allowable budgeted property disbursement, interest, and redemption of principal payments made in accordance with  §15-977. Property disbursements should include budgeted payments for capital acquisitions, not including related lease or other debt service payments. Budgeted interest expenses will be charged to object code 6850. Redemption of principal should include budgeted payments for principal on leases and other long-term debt that will be recorded as a reduction of the related liability. </t>
  </si>
  <si>
    <t>2016 Prop 123 and Laws 2015, 1st S.S., Ch.1, §6, provides total additional funding of $75 million to districts and charter schools on a pro rata basis. The estimated increase in additional funding is provided below. However, actual amounts will vary. ADE will notify schools of the final amounts. Once available, schools can access actual payment amounts at https://www.azed.gov/finance/countyappor. Schools should include these monies in their Schoolwide Project Budget. These monies may be expended for any allowable school purpose.</t>
  </si>
  <si>
    <t>Educational Programs for Gifted Pupils (G)     (4)</t>
  </si>
  <si>
    <t>(4)</t>
  </si>
  <si>
    <t xml:space="preserve">See ADE's School Finance Hot Topic for additional information on educational programs for gifted students at https://www.azed.gov/finance/fy-2022-gifted-add-payment </t>
  </si>
  <si>
    <t>Adjustment For Remote Instructional Time Calculated By ADE</t>
  </si>
  <si>
    <t>FRPL</t>
  </si>
  <si>
    <t>Free and Reduced-Price Lunch (FRPL)    (5)</t>
  </si>
  <si>
    <t>(5)</t>
  </si>
  <si>
    <r>
      <rPr>
        <sz val="10"/>
        <rFont val="Arial"/>
        <family val="2"/>
      </rPr>
      <t>Support level weight (lesser of lines 1 and 2, as applicable, as shown on BSA 55-1)</t>
    </r>
    <r>
      <rPr>
        <strike/>
        <sz val="10"/>
        <rFont val="Arial"/>
        <family val="2"/>
      </rPr>
      <t xml:space="preserve"> </t>
    </r>
  </si>
  <si>
    <t>FY 2024</t>
  </si>
  <si>
    <t>Debt service amounts should include budgeted interest and redemption of principal for all programs. Interest should be budgeted expenses for object code 6850. Redemption of principal should include budgeted payments for principal on capital leases and other long-term debt that will be recorded as a reduction of the related liability.</t>
  </si>
  <si>
    <r>
      <t>Total federal projects (</t>
    </r>
    <r>
      <rPr>
        <sz val="10"/>
        <rFont val="Arial"/>
        <family val="2"/>
      </rPr>
      <t>lines 1-17)</t>
    </r>
  </si>
  <si>
    <t>Estimated allocation of additional onetime state aid supplement</t>
  </si>
  <si>
    <t>Increase for allocation of onetime state aid supplement  [Laws 2023, Ch. 133, §31]</t>
  </si>
  <si>
    <t>Estimated revenues by source for fiscal year 2024</t>
  </si>
  <si>
    <r>
      <t xml:space="preserve">We hereby certify that the budget for the school year </t>
    </r>
    <r>
      <rPr>
        <sz val="10"/>
        <rFont val="Arial"/>
        <family val="2"/>
      </rPr>
      <t>2024 was</t>
    </r>
  </si>
  <si>
    <r>
      <t xml:space="preserve">The FY </t>
    </r>
    <r>
      <rPr>
        <sz val="10"/>
        <rFont val="Arial"/>
        <family val="2"/>
      </rPr>
      <t>2024 budget file for the version described at left will be uploaded through the</t>
    </r>
  </si>
  <si>
    <r>
      <rPr>
        <sz val="10"/>
        <rFont val="Arial"/>
        <family val="2"/>
      </rPr>
      <t>School Finance Budget System on ADE's website by</t>
    </r>
  </si>
  <si>
    <r>
      <t xml:space="preserve">1. Average salary of all teachers employed in budget year </t>
    </r>
    <r>
      <rPr>
        <sz val="10"/>
        <rFont val="Arial"/>
        <family val="2"/>
      </rPr>
      <t>2024</t>
    </r>
  </si>
  <si>
    <r>
      <t xml:space="preserve">2. Average salary of all teachers employed in prior year </t>
    </r>
    <r>
      <rPr>
        <sz val="10"/>
        <rFont val="Arial"/>
        <family val="2"/>
      </rPr>
      <t>2023</t>
    </r>
  </si>
  <si>
    <r>
      <t xml:space="preserve">3. Increase in average teacher salary from the prior year </t>
    </r>
    <r>
      <rPr>
        <sz val="10"/>
        <rFont val="Arial"/>
        <family val="2"/>
      </rPr>
      <t>2023</t>
    </r>
  </si>
  <si>
    <r>
      <t xml:space="preserve">Check box if the school is new and will begin operations in FY </t>
    </r>
    <r>
      <rPr>
        <sz val="10"/>
        <rFont val="Arial"/>
        <family val="2"/>
      </rPr>
      <t>2024.</t>
    </r>
  </si>
  <si>
    <r>
      <t xml:space="preserve">Total budgeted revenues for fiscal year </t>
    </r>
    <r>
      <rPr>
        <sz val="10"/>
        <rFont val="Arial"/>
        <family val="2"/>
      </rPr>
      <t>2023</t>
    </r>
  </si>
  <si>
    <t>1100-1499 Federal and State projects (from page 2, line 32)</t>
  </si>
  <si>
    <r>
      <t xml:space="preserve">Prior year </t>
    </r>
    <r>
      <rPr>
        <sz val="10"/>
        <rFont val="Arial"/>
        <family val="2"/>
      </rPr>
      <t>2023</t>
    </r>
  </si>
  <si>
    <r>
      <t xml:space="preserve">Budget year </t>
    </r>
    <r>
      <rPr>
        <sz val="10"/>
        <rFont val="Arial"/>
        <family val="2"/>
      </rPr>
      <t>2024</t>
    </r>
  </si>
  <si>
    <r>
      <t xml:space="preserve">Program 200 budget year </t>
    </r>
    <r>
      <rPr>
        <sz val="10"/>
        <rFont val="Arial"/>
        <family val="2"/>
      </rPr>
      <t>2024</t>
    </r>
  </si>
  <si>
    <r>
      <t xml:space="preserve">Program 200 prior year </t>
    </r>
    <r>
      <rPr>
        <sz val="10"/>
        <rFont val="Arial"/>
        <family val="2"/>
      </rPr>
      <t>2023</t>
    </r>
  </si>
  <si>
    <r>
      <t xml:space="preserve">Prior year  </t>
    </r>
    <r>
      <rPr>
        <sz val="10"/>
        <rFont val="Arial"/>
        <family val="2"/>
      </rPr>
      <t>2023</t>
    </r>
  </si>
  <si>
    <r>
      <t xml:space="preserve">Budget year
</t>
    </r>
    <r>
      <rPr>
        <sz val="10"/>
        <rFont val="Arial"/>
        <family val="2"/>
      </rPr>
      <t>2024</t>
    </r>
  </si>
  <si>
    <r>
      <t xml:space="preserve">Prior year
</t>
    </r>
    <r>
      <rPr>
        <sz val="10"/>
        <rFont val="Arial"/>
        <family val="2"/>
      </rPr>
      <t>2023</t>
    </r>
  </si>
  <si>
    <r>
      <t>Total State projects (</t>
    </r>
    <r>
      <rPr>
        <sz val="10"/>
        <rFont val="Arial"/>
        <family val="2"/>
      </rPr>
      <t>lines 19-30)</t>
    </r>
  </si>
  <si>
    <r>
      <t>Total federal and State projects (</t>
    </r>
    <r>
      <rPr>
        <sz val="10"/>
        <rFont val="Arial"/>
        <family val="2"/>
      </rPr>
      <t>lines 18 and 31)</t>
    </r>
  </si>
  <si>
    <r>
      <t xml:space="preserve">Average salary of all teachers employed in the budget year </t>
    </r>
    <r>
      <rPr>
        <sz val="10"/>
        <rFont val="Arial"/>
        <family val="2"/>
      </rPr>
      <t>2024</t>
    </r>
  </si>
  <si>
    <r>
      <t xml:space="preserve">Average salary of all teachers employed in the prior year </t>
    </r>
    <r>
      <rPr>
        <sz val="10"/>
        <rFont val="Arial"/>
        <family val="2"/>
      </rPr>
      <t>2023</t>
    </r>
  </si>
  <si>
    <r>
      <t xml:space="preserve">Increase in average teacher salary from the prior year </t>
    </r>
    <r>
      <rPr>
        <sz val="10"/>
        <rFont val="Arial"/>
        <family val="2"/>
      </rPr>
      <t>2023</t>
    </r>
  </si>
  <si>
    <r>
      <t xml:space="preserve">Enter total student counts for the charter school for PSD, K-8, and 9-12 students. Student count must be estimated student counts based on actual registration of students. Actual registration of PSD and kindergarten students should be divided by 2 to get estimated student counts for kindergarten. After the 100th day in session, the ADE FY </t>
    </r>
    <r>
      <rPr>
        <sz val="10"/>
        <rFont val="Arial"/>
        <family val="2"/>
      </rPr>
      <t xml:space="preserve">2024 ADM20 should be used, available via ADE Connect, AzEDS Portal. Schools approved to provide 200 days of instruction will adjust their FY 2025 budget for discrepancies between the FY 2024 100th-day and 200th-day student counts. (The Total K-UE report is used for K-8 and/or 9-12) </t>
    </r>
  </si>
  <si>
    <r>
      <t xml:space="preserve">Total weighted student count (lines 1 </t>
    </r>
    <r>
      <rPr>
        <sz val="10"/>
        <rFont val="Arial"/>
        <family val="2"/>
      </rPr>
      <t>through 16)</t>
    </r>
  </si>
  <si>
    <r>
      <t xml:space="preserve">A.R.S. §15-902.04 allows schools that provide 200 days of instruction to increase the base level amount by 5 percent. To be eligible for this increase in funding, the school must be approved for 200 days of instruction by ADE and its sponsor. Schools must receive approval from ADE for FY </t>
    </r>
    <r>
      <rPr>
        <sz val="10"/>
        <rFont val="Arial"/>
        <family val="2"/>
      </rPr>
      <t>2024 prior to June 1, 2023. Please contact ADE's School Finance account analyst team by email with questions concerning 200 days of instruction at SFAnalystTeam@azed.gov.</t>
    </r>
  </si>
  <si>
    <r>
      <t xml:space="preserve">Schools must include audit costs for FY </t>
    </r>
    <r>
      <rPr>
        <sz val="10"/>
        <rFont val="Arial"/>
        <family val="2"/>
      </rPr>
      <t>2024 under "Selected expenses by type" on Budget page 2 to receive this increase. Enter the amount expended for audit services in FY 2022 from nonfederal monies to obtain the allowable increase in BSL for the budget year. Do not include the costs of consulting or other nonaudit services paid to audit firms (e.g., application fees paid for submission of school's reports to ASBO and GFOA for certification or for the preparation of the Meritorious Budget Award application to ASBO). A.R.S. §15-914(F) allows schools to increase their base support levels if audit costs will be incurred for the budget year.</t>
    </r>
  </si>
  <si>
    <r>
      <t xml:space="preserve">FY </t>
    </r>
    <r>
      <rPr>
        <sz val="10"/>
        <rFont val="Arial"/>
        <family val="2"/>
      </rPr>
      <t>2022 nonfederal audit service actual expense</t>
    </r>
  </si>
  <si>
    <r>
      <t xml:space="preserve">FY </t>
    </r>
    <r>
      <rPr>
        <sz val="10"/>
        <rFont val="Arial"/>
        <family val="2"/>
      </rPr>
      <t>2022 federal audit service actual expense</t>
    </r>
  </si>
  <si>
    <r>
      <t xml:space="preserve">Enter the amount expended for audit services in FY </t>
    </r>
    <r>
      <rPr>
        <sz val="10"/>
        <rFont val="Arial"/>
        <family val="2"/>
      </rPr>
      <t>2022 from federal monies. Do not include the costs of consulting or other nonaudit services paid to audit firms (e.g., application fees paid for submission of school's reports to ASBO and GFOA for certification or for the preparation of the Meritorious Budget Award application to ASBO).</t>
    </r>
  </si>
  <si>
    <t>Increase for allocation of additional funding [2016 Prop 123 &amp; Laws 2015, 1st S.S., Ch.1, §6] and onetime state aid supplement [Laws 2023, Ch. 133, §31]</t>
  </si>
  <si>
    <t>Base Level Amount (FY24)</t>
  </si>
  <si>
    <t>These instructions will help charter schools prepare the budget. Within the forms, blue font and light blue highlights indicate that an instruction is linked to that specific line. We have provided an instructions button that links to any general instructions or to the first instruction for a page. The forms have been set to print without "objects" so that the instructions buttons do not print.
The cells in the prior year columns on the budget forms contain formulas that will bring forward budget amounts from the FY 2023 budget forms. However, the cells have not been protected so users may also enter the information manually. To bring forward amounts automatically, the most recently revised FY 2023 budget must be saved as budget23.xls in the C:\CSFORMS folder. If the file is not named budget23.xls, the formulas will not function properly. Excel will ask the user to update information when the budget24.xlsx file is opened. Users should review amounts reported in the prior year column to ensure they agree to the school’s most recently revised FY 2023 budget.   
Schools should complete the Data Entry page before completing pages 1 through 4. To ensure that the Arizona Department of Education (ADE) can properly access the school's data, do not change formulas without specific instructions from either the Arizona Auditor General's Office, Accountability Services Division, or ADE, School Finance.</t>
  </si>
  <si>
    <t>Base estimated revenues by source for FY 2024 on the best information available at the time the budget is prepared. Estimated revenues may be more or less than estimated expenses.</t>
  </si>
  <si>
    <r>
      <t xml:space="preserve">Schools participating in the Arizona State Retirement System should budget at the rate of </t>
    </r>
    <r>
      <rPr>
        <sz val="10"/>
        <rFont val="Arial"/>
        <family val="2"/>
      </rPr>
      <t>12.29 percent for covered positions. For positions subject to the Alternate Contribution Rate, schools should budget at the rate of 9.99 percent.</t>
    </r>
  </si>
  <si>
    <t>Separate accountability is required for each federal and State project. Therefore, charter schools should estimate the expenses for each federal or State project in which the school participates. The totals on line 32 should agree with the total columns for federal and State projects on line 37 of page 1. A.R.S. §15-1261 requires charter schools to establish an E-rate Project to account for any E-rate funding the school receives. Include monies budgeted for the E-rate Project and COVID-19 federal relief projects within Other Federal Projects on line 17.</t>
  </si>
  <si>
    <t>Schools participating in the National School Lunch Program are required to spend a portion of their State equalization assistance to support the operation of their food service program. Schools must report on their budget the amount of State equalization assistance that will be expended for their food service program during the 2024 school year. This amount will be used to determine school compliance with State matching requirements pursuant to CFR Title 7, §210.17(a). ADE’s Health and Nutrition Services will verify that the amount reported on the budget was reported as spent when schools’ annual financial reports are submitted. Direct any questions related to State matching requirements to Health and Nutrition Services at (602) 542-8700.</t>
  </si>
  <si>
    <r>
      <t xml:space="preserve">Schools receive revenues from the Classroom Site Project (CSP) each year. A.R.S. §15-977(G)(1) requires the Joint Legislative Budget Committee to calculate an estimated per pupil amount each year. For FY </t>
    </r>
    <r>
      <rPr>
        <sz val="10"/>
        <rFont val="Arial"/>
        <family val="2"/>
      </rPr>
      <t>2024, the estimated cash payment is $758 per “Group A weighted” pupil (BSA55 Tab, Total of Non-AOI weighted student count, AOI full-time weighted student count, and AOI part-time weighted student count on row 13). The FY 2024 CSP YTD Payments Reports will be available on ADE’s website beginning in August 2023 at https://schoolfinancereports.azed.gov/.</t>
    </r>
    <r>
      <rPr>
        <strike/>
        <sz val="10"/>
        <rFont val="Arial"/>
        <family val="2"/>
      </rPr>
      <t xml:space="preserve">
</t>
    </r>
  </si>
  <si>
    <r>
      <rPr>
        <sz val="10"/>
        <rFont val="Arial"/>
        <family val="2"/>
      </rPr>
      <t>Updated the estimated CSP per pupil amount.</t>
    </r>
    <r>
      <rPr>
        <strike/>
        <sz val="10"/>
        <rFont val="Arial"/>
        <family val="2"/>
      </rPr>
      <t xml:space="preserve"> </t>
    </r>
  </si>
  <si>
    <t>Other State Projects</t>
  </si>
  <si>
    <t>Budgeted expenditures related to monies remaining in Project 1457—Results-based Funding should be reported on line 28—Other State Projects, along with any other State project funds not included on lines 19 through 29 above.</t>
  </si>
  <si>
    <t>Laws 2023, Chapter 142, §2 repealed A.R.S. §15-249.08, which had established Project 1457—Results-based Funding.</t>
  </si>
  <si>
    <t>Schools may use the SUPP72 in AzEDS to estimate FY 2024 eligible student counts. This weight applies to all students in schools with community eligibility.</t>
  </si>
  <si>
    <t xml:space="preserve">Expenses made from the CSP (1010) should be made in accordance with A.R.S. §15-977 and must be used to supplement, rather than supplant, existing monies. Schools may establish any CSP subprojects (1011-1019) to track monies for specific allowable purposes or separately account for carryover balances and other one-time CSP monies. One total budget for all CSP monies must be reported here, in Project 1010.
Line 4 should include expenses for teacher liability insurance premiums made from Project 1010.   
</t>
  </si>
  <si>
    <t>For FY 2024, Laws 2023, Ch. 133, §31 provides total additional funding of $300 million to districts and charter schools on a pro rata basis. The estimated increase in additional funding is provided below. However, actual amounts will vary. ADE will notify schools of the final amounts. Once available, schools can access actual payment amounts at https://www.azed.gov/finance/countyappor. Schools should include these monies in their Schoolwide Project Budget. These monies may be expended for any allowable school purpose.</t>
  </si>
  <si>
    <t>Revised #1</t>
  </si>
  <si>
    <t>ktolman@evhigh.com</t>
  </si>
  <si>
    <t xml:space="preserve">Kathy Tolman </t>
  </si>
  <si>
    <t>Legacy Education Group, Inc.</t>
  </si>
  <si>
    <t>Maricopa</t>
  </si>
  <si>
    <t>078507000</t>
  </si>
  <si>
    <t>Claudina Douglas</t>
  </si>
  <si>
    <t xml:space="preserve">Kathy </t>
  </si>
  <si>
    <t>Tolman</t>
  </si>
  <si>
    <t>480-981-2008</t>
  </si>
  <si>
    <t>Claudina</t>
  </si>
  <si>
    <t>Douglas</t>
  </si>
  <si>
    <t>cdouglas@adibiz.com</t>
  </si>
  <si>
    <t>480-940-7538</t>
  </si>
  <si>
    <t xml:space="preserve">Mr. </t>
  </si>
  <si>
    <t xml:space="preserve">Michael </t>
  </si>
  <si>
    <t>Clement</t>
  </si>
  <si>
    <t>Situs3@cox.net</t>
  </si>
  <si>
    <t xml:space="preserve">Mrs. </t>
  </si>
  <si>
    <t>Sheila</t>
  </si>
  <si>
    <t>Dutton</t>
  </si>
  <si>
    <t>Sheila@theduttons.com</t>
  </si>
  <si>
    <t>Rod</t>
  </si>
  <si>
    <t>Rod.tolman3@gmail.com</t>
  </si>
  <si>
    <t>Jerry</t>
  </si>
  <si>
    <t>Haws</t>
  </si>
  <si>
    <t>jerryhaws@gmail.com</t>
  </si>
  <si>
    <t>Lorel</t>
  </si>
  <si>
    <t>Winsor</t>
  </si>
  <si>
    <t>lorel@winsorlaw.com</t>
  </si>
  <si>
    <t>www.evhigh.org</t>
  </si>
  <si>
    <t xml:space="preserve">Quickbooks Enterprise </t>
  </si>
  <si>
    <t>Comments on average salary calculation (optional):  This does not include performance or stipends.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</si>
</sst>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
    <numFmt numFmtId="165" formatCode="0.0"/>
    <numFmt numFmtId="166" formatCode="0.0%"/>
    <numFmt numFmtId="167" formatCode="mmmm\ d\,\ yyyy"/>
    <numFmt numFmtId="168" formatCode="#,##0.000_);\(#,##0.000\)"/>
    <numFmt numFmtId="169" formatCode="#,##0.000"/>
    <numFmt numFmtId="170" formatCode="0.0000"/>
    <numFmt numFmtId="171" formatCode="#,##0.0000_);\(#,##0.0000\)"/>
    <numFmt numFmtId="172" formatCode="#,##0.0000"/>
    <numFmt numFmtId="173" formatCode="0.00_);[Red]\(0.00\)"/>
    <numFmt numFmtId="174" formatCode="###\-###\-####"/>
    <numFmt numFmtId="175" formatCode="0.000"/>
    <numFmt numFmtId="176" formatCode="0.000_);\(0.000\)"/>
    <numFmt numFmtId="177" formatCode="&quot;$&quot;#,##0.00"/>
    <numFmt numFmtId="178" formatCode="0.0000_);\(0.0000\)"/>
    <numFmt numFmtId="179" formatCode="0.000000"/>
  </numFmts>
  <fonts count="47">
    <font>
      <sz val="10"/>
      <name val="Arial"/>
      <family val="2"/>
    </font>
    <font>
      <b/>
      <sz val="10"/>
      <name val="Arial"/>
      <family val="2"/>
    </font>
    <font>
      <b/>
      <sz val="14"/>
      <name val="Arial"/>
      <family val="2"/>
    </font>
    <font>
      <u/>
      <sz val="9"/>
      <color indexed="12"/>
      <name val="Arial"/>
      <family val="2"/>
    </font>
    <font>
      <sz val="10"/>
      <name val="Times New Roman"/>
      <family val="1"/>
    </font>
    <font>
      <sz val="12"/>
      <name val="Arial"/>
      <family val="2"/>
    </font>
    <font>
      <sz val="10"/>
      <color indexed="12"/>
      <name val="Arial"/>
      <family val="2"/>
    </font>
    <font>
      <b/>
      <sz val="10"/>
      <color indexed="12"/>
      <name val="Arial"/>
      <family val="2"/>
    </font>
    <font>
      <sz val="14"/>
      <name val="Arial"/>
      <family val="2"/>
    </font>
    <font>
      <sz val="10"/>
      <name val="Calibri"/>
      <family val="2"/>
    </font>
    <font>
      <u/>
      <sz val="10"/>
      <color indexed="12"/>
      <name val="Arial"/>
      <family val="2"/>
    </font>
    <font>
      <sz val="11"/>
      <name val="Calibri"/>
      <family val="2"/>
    </font>
    <font>
      <sz val="8"/>
      <name val="Arial"/>
      <family val="2"/>
    </font>
    <font>
      <u/>
      <sz val="9"/>
      <name val="Arial"/>
      <family val="2"/>
    </font>
    <font>
      <sz val="9"/>
      <name val="Times New Roman"/>
      <family val="1"/>
    </font>
    <font>
      <sz val="9"/>
      <name val="Arial"/>
      <family val="2"/>
    </font>
    <font>
      <b/>
      <sz val="12"/>
      <name val="Arial"/>
      <family val="2"/>
    </font>
    <font>
      <sz val="10"/>
      <name val="Arial MT"/>
      <family val="2"/>
    </font>
    <font>
      <b/>
      <strike/>
      <sz val="10"/>
      <name val="Arial"/>
      <family val="2"/>
    </font>
    <font>
      <strike/>
      <sz val="10"/>
      <name val="Arial"/>
      <family val="2"/>
    </font>
    <font>
      <b/>
      <strike/>
      <sz val="12"/>
      <name val="Arial"/>
      <family val="2"/>
    </font>
    <font>
      <b/>
      <u/>
      <sz val="10"/>
      <name val="Arial"/>
      <family val="2"/>
    </font>
    <font>
      <strike/>
      <sz val="10"/>
      <color indexed="10"/>
      <name val="Cambria"/>
      <family val="1"/>
    </font>
    <font>
      <b/>
      <u/>
      <sz val="10"/>
      <color indexed="12"/>
      <name val="Arial"/>
      <family val="2"/>
    </font>
    <font>
      <sz val="10"/>
      <color rgb="FF000000"/>
      <name val="Arial"/>
      <family val="2"/>
    </font>
    <font>
      <b/>
      <sz val="10"/>
      <color rgb="FF000000"/>
      <name val="Arial"/>
      <family val="2"/>
    </font>
    <font>
      <sz val="9"/>
      <color rgb="FF0000FF"/>
      <name val="Arial"/>
      <family val="2"/>
    </font>
    <font>
      <b/>
      <sz val="9"/>
      <color rgb="FF0000FF"/>
      <name val="Arial"/>
      <family val="2"/>
    </font>
    <font>
      <sz val="10"/>
      <color rgb="FF0070C0"/>
      <name val="Arial"/>
      <family val="2"/>
    </font>
    <font>
      <sz val="10"/>
      <color rgb="FF0000FF"/>
      <name val="Arial"/>
      <family val="2"/>
    </font>
    <font>
      <b/>
      <sz val="10"/>
      <color rgb="FF0000FF"/>
      <name val="Arial"/>
      <family val="2"/>
    </font>
    <font>
      <b/>
      <sz val="10"/>
      <color rgb="FFFF0000"/>
      <name val="Arial"/>
      <family val="2"/>
    </font>
    <font>
      <b/>
      <sz val="9"/>
      <color rgb="FFFF0000"/>
      <name val="Arial"/>
      <family val="2"/>
    </font>
    <font>
      <sz val="10"/>
      <color theme="0"/>
      <name val="Arial"/>
      <family val="2"/>
    </font>
    <font>
      <sz val="10"/>
      <color theme="10"/>
      <name val="Arial"/>
      <family val="2"/>
    </font>
    <font>
      <sz val="10"/>
      <color rgb="FFFF0000"/>
      <name val="Arial"/>
      <family val="2"/>
    </font>
    <font>
      <b/>
      <sz val="9"/>
      <color rgb="FF00B050"/>
      <name val="Arial"/>
      <family val="2"/>
    </font>
    <font>
      <sz val="10"/>
      <color theme="1"/>
      <name val="Arial"/>
      <family val="2"/>
    </font>
    <font>
      <b/>
      <sz val="10"/>
      <color theme="0"/>
      <name val="Arial"/>
      <family val="2"/>
    </font>
    <font>
      <b/>
      <strike/>
      <sz val="9"/>
      <color rgb="FFFF0000"/>
      <name val="Arial"/>
      <family val="2"/>
    </font>
    <font>
      <u/>
      <sz val="9"/>
      <color rgb="FF0000FF"/>
      <name val="Arial"/>
      <family val="2"/>
    </font>
    <font>
      <strike/>
      <sz val="10"/>
      <color rgb="FFFF0000"/>
      <name val="Arial"/>
      <family val="2"/>
    </font>
    <font>
      <b/>
      <strike/>
      <sz val="10"/>
      <color rgb="FFFF0000"/>
      <name val="Arial"/>
      <family val="2"/>
    </font>
    <font>
      <b/>
      <sz val="12"/>
      <color rgb="FFFF0000"/>
      <name val="Arial"/>
      <family val="2"/>
    </font>
    <font>
      <b/>
      <strike/>
      <sz val="10"/>
      <color rgb="FF0000FF"/>
      <name val="Arial"/>
      <family val="2"/>
    </font>
    <font>
      <sz val="10"/>
      <name val="Arial"/>
      <family val="2"/>
    </font>
    <font>
      <sz val="10"/>
      <name val="Arial"/>
      <family val="2"/>
    </font>
  </fonts>
  <fills count="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CCFFFF"/>
        <bgColor indexed="64"/>
      </patternFill>
    </fill>
    <fill>
      <patternFill patternType="solid">
        <fgColor theme="0" tint="-0.24991607409894101"/>
        <bgColor indexed="64"/>
      </patternFill>
    </fill>
    <fill>
      <patternFill patternType="solid">
        <fgColor rgb="FFFFFFCC"/>
        <bgColor indexed="64"/>
      </patternFill>
    </fill>
    <fill>
      <patternFill patternType="solid">
        <fgColor indexed="55"/>
        <bgColor indexed="64"/>
      </patternFill>
    </fill>
    <fill>
      <patternFill patternType="solid">
        <fgColor theme="0" tint="-0.14993743705557422"/>
        <bgColor indexed="64"/>
      </patternFill>
    </fill>
  </fills>
  <borders count="34">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right style="thin">
        <color auto="1"/>
      </right>
      <top/>
      <bottom/>
      <diagonal/>
    </border>
    <border>
      <left style="thin">
        <color auto="1"/>
      </left>
      <right/>
      <top style="thin">
        <color auto="1"/>
      </top>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bottom style="thin">
        <color auto="1"/>
      </bottom>
      <diagonal/>
    </border>
    <border>
      <left style="thin">
        <color auto="1"/>
      </left>
      <right/>
      <top/>
      <bottom/>
      <diagonal/>
    </border>
    <border>
      <left/>
      <right/>
      <top style="thin">
        <color auto="1"/>
      </top>
      <bottom/>
      <diagonal/>
    </border>
    <border>
      <left style="thin">
        <color auto="1"/>
      </left>
      <right style="thin">
        <color auto="1"/>
      </right>
      <top/>
      <bottom/>
      <diagonal/>
    </border>
    <border>
      <left style="thin">
        <color auto="1"/>
      </left>
      <right style="thin">
        <color auto="1"/>
      </right>
      <top style="double">
        <color auto="1"/>
      </top>
      <bottom/>
      <diagonal/>
    </border>
    <border>
      <left/>
      <right style="thin">
        <color auto="1"/>
      </right>
      <top style="thin">
        <color auto="1"/>
      </top>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thin">
        <color auto="1"/>
      </left>
      <right/>
      <top style="double">
        <color auto="1"/>
      </top>
      <bottom/>
      <diagonal/>
    </border>
    <border>
      <left/>
      <right/>
      <top style="thin">
        <color auto="1"/>
      </top>
      <bottom style="double">
        <color auto="1"/>
      </bottom>
      <diagonal/>
    </border>
    <border>
      <left style="thin">
        <color auto="1"/>
      </left>
      <right/>
      <top/>
      <bottom style="double">
        <color auto="1"/>
      </bottom>
      <diagonal/>
    </border>
    <border>
      <left/>
      <right style="thin">
        <color auto="1"/>
      </right>
      <top style="double">
        <color auto="1"/>
      </top>
      <bottom/>
      <diagonal/>
    </border>
    <border>
      <left style="thin">
        <color auto="1"/>
      </left>
      <right/>
      <top style="thin">
        <color auto="1"/>
      </top>
      <bottom style="double">
        <color auto="1"/>
      </bottom>
      <diagonal/>
    </border>
    <border>
      <left/>
      <right/>
      <top/>
      <bottom style="medium">
        <color auto="1"/>
      </bottom>
      <diagonal/>
    </border>
    <border>
      <left/>
      <right/>
      <top style="double">
        <color auto="1"/>
      </top>
      <bottom/>
      <diagonal/>
    </border>
    <border>
      <left/>
      <right style="thin">
        <color auto="1"/>
      </right>
      <top style="thin">
        <color auto="1"/>
      </top>
      <bottom style="double">
        <color auto="1"/>
      </bottom>
      <diagonal/>
    </border>
    <border>
      <left style="thin">
        <color auto="1"/>
      </left>
      <right style="thin">
        <color auto="1"/>
      </right>
      <top/>
      <bottom style="double">
        <color auto="1"/>
      </bottom>
      <diagonal/>
    </border>
    <border>
      <left style="thin">
        <color auto="1"/>
      </left>
      <right style="thin">
        <color auto="1"/>
      </right>
      <top style="medium">
        <color auto="1"/>
      </top>
      <bottom style="double">
        <color auto="1"/>
      </bottom>
      <diagonal/>
    </border>
    <border>
      <left/>
      <right/>
      <top/>
      <bottom style="double">
        <color auto="1"/>
      </bottom>
      <diagonal/>
    </border>
    <border>
      <left/>
      <right style="thin">
        <color auto="1"/>
      </right>
      <top/>
      <bottom style="double">
        <color auto="1"/>
      </bottom>
      <diagonal/>
    </border>
  </borders>
  <cellStyleXfs count="17">
    <xf numFmtId="0" fontId="0" fillId="0" borderId="0"/>
    <xf numFmtId="9" fontId="45" fillId="0" borderId="0" applyFont="0" applyFill="0" applyBorder="0" applyAlignment="0" applyProtection="0"/>
    <xf numFmtId="44" fontId="45" fillId="0" borderId="0" applyFont="0" applyFill="0" applyBorder="0" applyAlignment="0" applyProtection="0"/>
    <xf numFmtId="42" fontId="45" fillId="0" borderId="0" applyFont="0" applyFill="0" applyBorder="0" applyAlignment="0" applyProtection="0"/>
    <xf numFmtId="43" fontId="45" fillId="0" borderId="0" applyFont="0" applyFill="0" applyBorder="0" applyAlignment="0" applyProtection="0"/>
    <xf numFmtId="41" fontId="45" fillId="0" borderId="0" applyFont="0" applyFill="0" applyBorder="0" applyAlignment="0" applyProtection="0"/>
    <xf numFmtId="0" fontId="3" fillId="0" borderId="0" applyNumberFormat="0" applyFill="0" applyBorder="0">
      <protection locked="0"/>
    </xf>
    <xf numFmtId="0" fontId="5" fillId="0" borderId="0" applyFont="0" applyBorder="0"/>
    <xf numFmtId="0" fontId="5" fillId="0" borderId="0" applyFont="0" applyBorder="0"/>
    <xf numFmtId="0" fontId="17" fillId="2" borderId="0"/>
    <xf numFmtId="0" fontId="45" fillId="0" borderId="0"/>
    <xf numFmtId="0" fontId="46" fillId="0" borderId="0"/>
    <xf numFmtId="44" fontId="45" fillId="0" borderId="0" applyFont="0" applyFill="0" applyBorder="0" applyAlignment="0" applyProtection="0"/>
    <xf numFmtId="0" fontId="3" fillId="0" borderId="0" applyNumberFormat="0" applyFill="0" applyBorder="0" applyAlignment="0" applyProtection="0">
      <alignment vertical="top"/>
      <protection locked="0"/>
    </xf>
    <xf numFmtId="9" fontId="45" fillId="0" borderId="0" applyFont="0" applyFill="0" applyBorder="0" applyAlignment="0" applyProtection="0"/>
    <xf numFmtId="44" fontId="45" fillId="0" borderId="0" applyFont="0" applyFill="0" applyBorder="0" applyAlignment="0" applyProtection="0"/>
    <xf numFmtId="44" fontId="45" fillId="0" borderId="0" applyFont="0" applyFill="0" applyBorder="0" applyAlignment="0" applyProtection="0"/>
  </cellStyleXfs>
  <cellXfs count="584">
    <xf numFmtId="0" fontId="0" fillId="0" borderId="0" xfId="0"/>
    <xf numFmtId="49" fontId="0" fillId="0" borderId="3" xfId="0" applyNumberFormat="1" applyBorder="1" applyAlignment="1" applyProtection="1">
      <alignment horizontal="center"/>
      <protection locked="0"/>
    </xf>
    <xf numFmtId="38" fontId="0" fillId="0" borderId="1" xfId="0" applyNumberFormat="1" applyBorder="1" applyProtection="1">
      <protection locked="0"/>
    </xf>
    <xf numFmtId="38" fontId="0" fillId="0" borderId="2" xfId="0" applyNumberFormat="1" applyBorder="1" applyProtection="1">
      <protection locked="0"/>
    </xf>
    <xf numFmtId="38" fontId="0" fillId="0" borderId="1" xfId="0" applyNumberFormat="1" applyBorder="1" applyAlignment="1" applyProtection="1">
      <alignment horizontal="right"/>
      <protection locked="0"/>
    </xf>
    <xf numFmtId="3" fontId="0" fillId="0" borderId="3" xfId="0" applyNumberFormat="1" applyBorder="1" applyProtection="1">
      <protection locked="0"/>
    </xf>
    <xf numFmtId="173" fontId="0" fillId="0" borderId="1" xfId="0" applyNumberFormat="1" applyBorder="1" applyAlignment="1" applyProtection="1">
      <alignment horizontal="right"/>
      <protection locked="0"/>
    </xf>
    <xf numFmtId="173" fontId="0" fillId="0" borderId="2" xfId="0" applyNumberFormat="1" applyBorder="1" applyProtection="1">
      <protection locked="0"/>
    </xf>
    <xf numFmtId="173" fontId="0" fillId="0" borderId="1" xfId="0" applyNumberFormat="1" applyBorder="1" applyProtection="1">
      <protection locked="0"/>
    </xf>
    <xf numFmtId="165" fontId="0" fillId="0" borderId="3" xfId="0" applyNumberFormat="1" applyBorder="1" applyProtection="1">
      <protection locked="0"/>
    </xf>
    <xf numFmtId="38" fontId="0" fillId="0" borderId="8" xfId="0" applyNumberFormat="1" applyBorder="1" applyProtection="1">
      <protection locked="0"/>
    </xf>
    <xf numFmtId="38" fontId="0" fillId="0" borderId="6" xfId="0" applyNumberFormat="1" applyBorder="1" applyProtection="1">
      <protection locked="0"/>
    </xf>
    <xf numFmtId="173" fontId="0" fillId="0" borderId="2" xfId="0" applyNumberFormat="1" applyBorder="1" applyAlignment="1" applyProtection="1">
      <alignment horizontal="right"/>
      <protection locked="0"/>
    </xf>
    <xf numFmtId="38" fontId="0" fillId="0" borderId="2" xfId="0" applyNumberFormat="1" applyBorder="1" applyAlignment="1" applyProtection="1">
      <alignment horizontal="right"/>
      <protection locked="0"/>
    </xf>
    <xf numFmtId="38" fontId="0" fillId="0" borderId="1" xfId="0" applyNumberFormat="1" applyBorder="1" applyAlignment="1" applyProtection="1">
      <alignment vertical="center"/>
      <protection locked="0"/>
    </xf>
    <xf numFmtId="38" fontId="0" fillId="0" borderId="2" xfId="0" applyNumberFormat="1" applyBorder="1" applyAlignment="1" applyProtection="1">
      <alignment vertical="center"/>
      <protection locked="0"/>
    </xf>
    <xf numFmtId="38" fontId="0" fillId="0" borderId="9" xfId="0" applyNumberFormat="1" applyBorder="1" applyAlignment="1" applyProtection="1">
      <alignment vertical="center"/>
      <protection locked="0"/>
    </xf>
    <xf numFmtId="38" fontId="0" fillId="0" borderId="10" xfId="0" applyNumberFormat="1" applyBorder="1" applyProtection="1">
      <protection locked="0"/>
    </xf>
    <xf numFmtId="173" fontId="0" fillId="0" borderId="6" xfId="0" applyNumberFormat="1" applyBorder="1" applyProtection="1">
      <protection locked="0"/>
    </xf>
    <xf numFmtId="38" fontId="0" fillId="0" borderId="7" xfId="0" applyNumberFormat="1" applyBorder="1" applyAlignment="1" applyProtection="1">
      <alignment vertical="center"/>
      <protection locked="0"/>
    </xf>
    <xf numFmtId="165" fontId="0" fillId="0" borderId="17" xfId="0" applyNumberFormat="1" applyBorder="1" applyProtection="1">
      <protection locked="0"/>
    </xf>
    <xf numFmtId="3" fontId="0" fillId="0" borderId="3" xfId="0" quotePrefix="1" applyNumberFormat="1" applyBorder="1" applyProtection="1">
      <protection locked="0"/>
    </xf>
    <xf numFmtId="0" fontId="0" fillId="0" borderId="19" xfId="0" applyBorder="1" applyProtection="1">
      <protection locked="0"/>
    </xf>
    <xf numFmtId="0" fontId="0" fillId="0" borderId="20" xfId="0" applyBorder="1" applyProtection="1">
      <protection locked="0"/>
    </xf>
    <xf numFmtId="0" fontId="0" fillId="0" borderId="21" xfId="0" applyBorder="1" applyProtection="1">
      <protection locked="0"/>
    </xf>
    <xf numFmtId="0" fontId="0" fillId="0" borderId="21" xfId="8" applyFont="1" applyBorder="1" applyProtection="1">
      <protection locked="0"/>
    </xf>
    <xf numFmtId="39" fontId="0" fillId="0" borderId="3" xfId="0" applyNumberFormat="1" applyBorder="1" applyProtection="1">
      <protection locked="0"/>
    </xf>
    <xf numFmtId="0" fontId="0" fillId="0" borderId="21" xfId="8" applyFont="1" applyBorder="1" applyAlignment="1" applyProtection="1">
      <alignment horizontal="center"/>
      <protection locked="0"/>
    </xf>
    <xf numFmtId="40" fontId="0" fillId="0" borderId="2" xfId="0" applyNumberFormat="1" applyBorder="1" applyAlignment="1" applyProtection="1">
      <alignment vertical="center"/>
      <protection locked="0"/>
    </xf>
    <xf numFmtId="178" fontId="0" fillId="0" borderId="4" xfId="0" applyNumberFormat="1" applyBorder="1" applyProtection="1">
      <protection locked="0"/>
    </xf>
    <xf numFmtId="171" fontId="0" fillId="0" borderId="18" xfId="8" applyNumberFormat="1" applyFont="1" applyBorder="1" applyAlignment="1" applyProtection="1">
      <alignment wrapText="1"/>
      <protection locked="0"/>
    </xf>
    <xf numFmtId="171" fontId="0" fillId="0" borderId="18" xfId="8" applyNumberFormat="1" applyFont="1" applyBorder="1" applyAlignment="1" applyProtection="1">
      <alignment horizontal="right"/>
      <protection locked="0"/>
    </xf>
    <xf numFmtId="179" fontId="0" fillId="0" borderId="3" xfId="0" applyNumberFormat="1" applyBorder="1" applyProtection="1">
      <protection locked="0"/>
    </xf>
    <xf numFmtId="0" fontId="0" fillId="0" borderId="0" xfId="0" applyAlignment="1">
      <alignment horizontal="right"/>
    </xf>
    <xf numFmtId="0" fontId="0" fillId="0" borderId="3" xfId="0" applyBorder="1" applyAlignment="1">
      <alignment horizontal="left"/>
    </xf>
    <xf numFmtId="49" fontId="0" fillId="0" borderId="3" xfId="0" applyNumberFormat="1" applyBorder="1" applyAlignment="1">
      <alignment horizontal="left"/>
    </xf>
    <xf numFmtId="49" fontId="0" fillId="0" borderId="3" xfId="0" applyNumberFormat="1" applyBorder="1" applyAlignment="1">
      <alignment horizontal="center"/>
    </xf>
    <xf numFmtId="0" fontId="1" fillId="0" borderId="0" xfId="8" applyFont="1" applyAlignment="1">
      <alignment horizontal="right"/>
    </xf>
    <xf numFmtId="49" fontId="1" fillId="0" borderId="0" xfId="8" applyNumberFormat="1" applyFont="1" applyAlignment="1">
      <alignment horizontal="center"/>
    </xf>
    <xf numFmtId="0" fontId="15" fillId="0" borderId="0" xfId="8" applyFont="1"/>
    <xf numFmtId="49" fontId="1" fillId="0" borderId="0" xfId="8" applyNumberFormat="1" applyFont="1" applyAlignment="1">
      <alignment horizontal="left"/>
    </xf>
    <xf numFmtId="0" fontId="1" fillId="0" borderId="0" xfId="0" applyFont="1" applyAlignment="1">
      <alignment horizontal="left"/>
    </xf>
    <xf numFmtId="0" fontId="0" fillId="0" borderId="0" xfId="0" applyAlignment="1">
      <alignment horizontal="left"/>
    </xf>
    <xf numFmtId="0" fontId="30" fillId="4" borderId="0" xfId="6" applyFont="1" applyFill="1" applyProtection="1"/>
    <xf numFmtId="0" fontId="7" fillId="4" borderId="0" xfId="6" applyFont="1" applyFill="1" applyAlignment="1" applyProtection="1">
      <alignment horizontal="left"/>
    </xf>
    <xf numFmtId="49" fontId="1" fillId="4" borderId="0" xfId="8" applyNumberFormat="1" applyFont="1" applyFill="1" applyAlignment="1">
      <alignment horizontal="left"/>
    </xf>
    <xf numFmtId="0" fontId="1" fillId="4" borderId="0" xfId="8" applyFont="1" applyFill="1" applyAlignment="1">
      <alignment horizontal="right"/>
    </xf>
    <xf numFmtId="49" fontId="1" fillId="4" borderId="0" xfId="8" applyNumberFormat="1" applyFont="1" applyFill="1" applyAlignment="1">
      <alignment horizontal="center"/>
    </xf>
    <xf numFmtId="0" fontId="0" fillId="0" borderId="26" xfId="0" applyBorder="1" applyAlignment="1">
      <alignment horizontal="left"/>
    </xf>
    <xf numFmtId="0" fontId="0" fillId="0" borderId="23" xfId="0" applyBorder="1" applyAlignment="1">
      <alignment horizontal="left"/>
    </xf>
    <xf numFmtId="49" fontId="1" fillId="0" borderId="23" xfId="8" applyNumberFormat="1" applyFont="1" applyBorder="1" applyAlignment="1">
      <alignment horizontal="left"/>
    </xf>
    <xf numFmtId="0" fontId="1" fillId="0" borderId="23" xfId="8" applyFont="1" applyBorder="1" applyAlignment="1">
      <alignment horizontal="right"/>
    </xf>
    <xf numFmtId="0" fontId="1" fillId="0" borderId="26" xfId="8" applyFont="1" applyBorder="1" applyAlignment="1">
      <alignment horizontal="right"/>
    </xf>
    <xf numFmtId="0" fontId="0" fillId="0" borderId="23" xfId="8" applyFont="1" applyBorder="1" applyAlignment="1">
      <alignment horizontal="center"/>
    </xf>
    <xf numFmtId="49" fontId="1" fillId="0" borderId="23" xfId="8" applyNumberFormat="1" applyFont="1" applyBorder="1" applyAlignment="1">
      <alignment horizontal="center"/>
    </xf>
    <xf numFmtId="49" fontId="0" fillId="0" borderId="29" xfId="8" applyNumberFormat="1" applyFont="1" applyBorder="1" applyAlignment="1">
      <alignment horizontal="center"/>
    </xf>
    <xf numFmtId="0" fontId="0" fillId="0" borderId="11" xfId="0" applyBorder="1"/>
    <xf numFmtId="0" fontId="34" fillId="3" borderId="0" xfId="6" applyFont="1" applyFill="1" applyAlignment="1" applyProtection="1">
      <alignment horizontal="left"/>
    </xf>
    <xf numFmtId="0" fontId="1" fillId="0" borderId="11" xfId="8" applyFont="1" applyBorder="1" applyAlignment="1">
      <alignment horizontal="right"/>
    </xf>
    <xf numFmtId="0" fontId="1" fillId="0" borderId="25" xfId="8" applyFont="1" applyBorder="1" applyAlignment="1">
      <alignment horizontal="right"/>
    </xf>
    <xf numFmtId="0" fontId="10" fillId="0" borderId="24" xfId="6" applyFont="1" applyBorder="1" applyProtection="1"/>
    <xf numFmtId="0" fontId="0" fillId="0" borderId="32" xfId="0" applyBorder="1"/>
    <xf numFmtId="49" fontId="1" fillId="0" borderId="32" xfId="8" applyNumberFormat="1" applyFont="1" applyBorder="1" applyAlignment="1">
      <alignment horizontal="left"/>
    </xf>
    <xf numFmtId="0" fontId="1" fillId="0" borderId="32" xfId="8" applyFont="1" applyBorder="1" applyAlignment="1">
      <alignment horizontal="right"/>
    </xf>
    <xf numFmtId="0" fontId="1" fillId="0" borderId="24" xfId="8" applyFont="1" applyBorder="1" applyAlignment="1">
      <alignment horizontal="right"/>
    </xf>
    <xf numFmtId="170" fontId="0" fillId="0" borderId="32" xfId="0" applyNumberFormat="1" applyBorder="1" applyAlignment="1">
      <alignment horizontal="right"/>
    </xf>
    <xf numFmtId="0" fontId="0" fillId="0" borderId="24" xfId="0" applyBorder="1"/>
    <xf numFmtId="170" fontId="0" fillId="0" borderId="33" xfId="0" applyNumberFormat="1" applyBorder="1"/>
    <xf numFmtId="0" fontId="0" fillId="0" borderId="22" xfId="0" applyBorder="1"/>
    <xf numFmtId="0" fontId="34" fillId="3" borderId="28" xfId="6" applyFont="1" applyFill="1" applyBorder="1" applyAlignment="1" applyProtection="1">
      <alignment horizontal="left"/>
    </xf>
    <xf numFmtId="0" fontId="34" fillId="3" borderId="22" xfId="6" applyFont="1" applyFill="1" applyBorder="1" applyAlignment="1" applyProtection="1">
      <alignment horizontal="left"/>
    </xf>
    <xf numFmtId="170" fontId="0" fillId="0" borderId="0" xfId="0" applyNumberFormat="1" applyAlignment="1">
      <alignment horizontal="left"/>
    </xf>
    <xf numFmtId="170" fontId="0" fillId="0" borderId="4" xfId="0" applyNumberFormat="1" applyBorder="1"/>
    <xf numFmtId="0" fontId="0" fillId="0" borderId="10" xfId="0" applyBorder="1"/>
    <xf numFmtId="170" fontId="0" fillId="0" borderId="3" xfId="0" applyNumberFormat="1" applyBorder="1"/>
    <xf numFmtId="175" fontId="0" fillId="0" borderId="10" xfId="0" applyNumberFormat="1" applyBorder="1"/>
    <xf numFmtId="170" fontId="0" fillId="0" borderId="6" xfId="0" applyNumberFormat="1" applyBorder="1" applyAlignment="1">
      <alignment horizontal="right"/>
    </xf>
    <xf numFmtId="170" fontId="0" fillId="0" borderId="17" xfId="0" applyNumberFormat="1" applyBorder="1" applyAlignment="1">
      <alignment horizontal="right"/>
    </xf>
    <xf numFmtId="170" fontId="0" fillId="0" borderId="6" xfId="0" applyNumberFormat="1" applyBorder="1"/>
    <xf numFmtId="0" fontId="0" fillId="0" borderId="18" xfId="0" applyBorder="1"/>
    <xf numFmtId="169" fontId="0" fillId="0" borderId="10" xfId="0" applyNumberFormat="1" applyBorder="1"/>
    <xf numFmtId="0" fontId="0" fillId="0" borderId="26" xfId="0" applyBorder="1"/>
    <xf numFmtId="170" fontId="0" fillId="0" borderId="23" xfId="0" applyNumberFormat="1" applyBorder="1" applyAlignment="1">
      <alignment horizontal="right"/>
    </xf>
    <xf numFmtId="170" fontId="0" fillId="0" borderId="29" xfId="0" applyNumberFormat="1" applyBorder="1"/>
    <xf numFmtId="170" fontId="0" fillId="0" borderId="0" xfId="0" applyNumberFormat="1"/>
    <xf numFmtId="170" fontId="0" fillId="0" borderId="3" xfId="0" applyNumberFormat="1" applyBorder="1" applyAlignment="1">
      <alignment horizontal="right"/>
    </xf>
    <xf numFmtId="0" fontId="0" fillId="0" borderId="18" xfId="0" applyBorder="1" applyAlignment="1">
      <alignment horizontal="left"/>
    </xf>
    <xf numFmtId="0" fontId="0" fillId="0" borderId="11" xfId="0" applyBorder="1" applyAlignment="1">
      <alignment horizontal="left"/>
    </xf>
    <xf numFmtId="0" fontId="0" fillId="0" borderId="24" xfId="0" applyBorder="1" applyAlignment="1">
      <alignment horizontal="left"/>
    </xf>
    <xf numFmtId="0" fontId="34" fillId="3" borderId="28" xfId="6" applyFont="1" applyFill="1" applyBorder="1" applyProtection="1"/>
    <xf numFmtId="170" fontId="0" fillId="0" borderId="28" xfId="0" applyNumberFormat="1" applyBorder="1"/>
    <xf numFmtId="0" fontId="29" fillId="0" borderId="24" xfId="0" applyFont="1" applyBorder="1"/>
    <xf numFmtId="0" fontId="29" fillId="0" borderId="0" xfId="0" applyFont="1"/>
    <xf numFmtId="49" fontId="7" fillId="4" borderId="0" xfId="6" applyNumberFormat="1" applyFont="1" applyFill="1" applyAlignment="1" applyProtection="1">
      <alignment horizontal="left"/>
    </xf>
    <xf numFmtId="0" fontId="30" fillId="4" borderId="0" xfId="6" applyFont="1" applyFill="1" applyAlignment="1" applyProtection="1">
      <alignment horizontal="right"/>
    </xf>
    <xf numFmtId="49" fontId="7" fillId="0" borderId="0" xfId="6" applyNumberFormat="1" applyFont="1" applyFill="1" applyAlignment="1" applyProtection="1">
      <alignment horizontal="center"/>
    </xf>
    <xf numFmtId="49" fontId="1" fillId="0" borderId="26" xfId="8" applyNumberFormat="1" applyFont="1" applyBorder="1" applyAlignment="1">
      <alignment horizontal="center"/>
    </xf>
    <xf numFmtId="0" fontId="0" fillId="0" borderId="4" xfId="0" applyBorder="1"/>
    <xf numFmtId="0" fontId="0" fillId="0" borderId="22" xfId="0" applyBorder="1" applyAlignment="1">
      <alignment horizontal="left"/>
    </xf>
    <xf numFmtId="0" fontId="0" fillId="0" borderId="10" xfId="0" applyBorder="1" applyAlignment="1">
      <alignment horizontal="left"/>
    </xf>
    <xf numFmtId="49" fontId="1" fillId="0" borderId="24" xfId="8" applyNumberFormat="1" applyFont="1" applyBorder="1" applyAlignment="1">
      <alignment horizontal="center"/>
    </xf>
    <xf numFmtId="0" fontId="1" fillId="0" borderId="0" xfId="0" applyFont="1"/>
    <xf numFmtId="164" fontId="0" fillId="0" borderId="0" xfId="0" applyNumberFormat="1"/>
    <xf numFmtId="170" fontId="0" fillId="0" borderId="3" xfId="0" quotePrefix="1" applyNumberFormat="1" applyBorder="1"/>
    <xf numFmtId="0" fontId="19" fillId="3" borderId="0" xfId="0" applyFont="1" applyFill="1"/>
    <xf numFmtId="0" fontId="41" fillId="3" borderId="0" xfId="0" applyFont="1" applyFill="1"/>
    <xf numFmtId="49" fontId="42" fillId="0" borderId="0" xfId="8" applyNumberFormat="1" applyFont="1" applyAlignment="1">
      <alignment horizontal="left"/>
    </xf>
    <xf numFmtId="0" fontId="42" fillId="0" borderId="0" xfId="8" applyFont="1" applyAlignment="1">
      <alignment horizontal="right"/>
    </xf>
    <xf numFmtId="49" fontId="18" fillId="0" borderId="0" xfId="8" applyNumberFormat="1" applyFont="1" applyAlignment="1">
      <alignment horizontal="center"/>
    </xf>
    <xf numFmtId="164" fontId="1" fillId="0" borderId="0" xfId="8" applyNumberFormat="1" applyFont="1"/>
    <xf numFmtId="0" fontId="1" fillId="0" borderId="0" xfId="0" applyFont="1" applyAlignment="1">
      <alignment horizontal="center"/>
    </xf>
    <xf numFmtId="0" fontId="36" fillId="0" borderId="0" xfId="8" applyFont="1"/>
    <xf numFmtId="164" fontId="0" fillId="0" borderId="0" xfId="8" applyNumberFormat="1" applyFont="1" applyAlignment="1">
      <alignment horizontal="left" wrapText="1"/>
    </xf>
    <xf numFmtId="0" fontId="0" fillId="0" borderId="0" xfId="0" applyAlignment="1">
      <alignment horizontal="center"/>
    </xf>
    <xf numFmtId="4" fontId="0" fillId="0" borderId="0" xfId="0" applyNumberFormat="1"/>
    <xf numFmtId="0" fontId="14" fillId="0" borderId="0" xfId="0" applyFont="1"/>
    <xf numFmtId="0" fontId="0" fillId="0" borderId="2" xfId="0" applyBorder="1" applyAlignment="1">
      <alignment horizontal="center"/>
    </xf>
    <xf numFmtId="0" fontId="0" fillId="0" borderId="18" xfId="0" applyBorder="1" applyAlignment="1">
      <alignment horizontal="center"/>
    </xf>
    <xf numFmtId="0" fontId="0" fillId="0" borderId="11" xfId="0" applyBorder="1" applyAlignment="1">
      <alignment horizontal="center"/>
    </xf>
    <xf numFmtId="168" fontId="0" fillId="0" borderId="0" xfId="8" applyNumberFormat="1" applyFont="1"/>
    <xf numFmtId="168" fontId="0" fillId="0" borderId="2" xfId="8" applyNumberFormat="1" applyFont="1" applyBorder="1"/>
    <xf numFmtId="168" fontId="0" fillId="0" borderId="18" xfId="8" applyNumberFormat="1" applyFont="1" applyBorder="1"/>
    <xf numFmtId="168" fontId="0" fillId="0" borderId="11" xfId="8" applyNumberFormat="1" applyFont="1" applyBorder="1"/>
    <xf numFmtId="169" fontId="0" fillId="0" borderId="0" xfId="0" applyNumberFormat="1"/>
    <xf numFmtId="0" fontId="0" fillId="0" borderId="0" xfId="6" applyFont="1" applyAlignment="1" applyProtection="1">
      <alignment vertical="top" wrapText="1"/>
    </xf>
    <xf numFmtId="0" fontId="0" fillId="3" borderId="0" xfId="0" applyFill="1" applyAlignment="1">
      <alignment horizontal="center"/>
    </xf>
    <xf numFmtId="39" fontId="0" fillId="0" borderId="3" xfId="2" applyNumberFormat="1" applyFont="1" applyBorder="1" applyProtection="1"/>
    <xf numFmtId="39" fontId="0" fillId="0" borderId="17" xfId="2" applyNumberFormat="1" applyFont="1" applyBorder="1" applyProtection="1"/>
    <xf numFmtId="0" fontId="17" fillId="0" borderId="0" xfId="9" applyFill="1" applyAlignment="1">
      <alignment vertical="center" wrapText="1"/>
    </xf>
    <xf numFmtId="0" fontId="0" fillId="0" borderId="0" xfId="0" applyAlignment="1">
      <alignment vertical="center"/>
    </xf>
    <xf numFmtId="0" fontId="15" fillId="0" borderId="0" xfId="8" applyFont="1" applyAlignment="1">
      <alignment horizontal="right"/>
    </xf>
    <xf numFmtId="39" fontId="15" fillId="0" borderId="0" xfId="8" applyNumberFormat="1" applyFont="1"/>
    <xf numFmtId="0" fontId="0" fillId="0" borderId="0" xfId="0" applyAlignment="1">
      <alignment horizontal="left" vertical="top" wrapText="1"/>
    </xf>
    <xf numFmtId="39" fontId="0" fillId="0" borderId="0" xfId="2" applyNumberFormat="1" applyFont="1" applyProtection="1"/>
    <xf numFmtId="0" fontId="15" fillId="0" borderId="0" xfId="8" applyFont="1" applyAlignment="1">
      <alignment horizontal="center"/>
    </xf>
    <xf numFmtId="164" fontId="29" fillId="4" borderId="0" xfId="8" applyNumberFormat="1" applyFont="1" applyFill="1"/>
    <xf numFmtId="164" fontId="0" fillId="4" borderId="0" xfId="6" applyNumberFormat="1" applyFont="1" applyFill="1" applyProtection="1"/>
    <xf numFmtId="0" fontId="0" fillId="0" borderId="0" xfId="8" applyFont="1"/>
    <xf numFmtId="0" fontId="0" fillId="0" borderId="0" xfId="8" applyFont="1" applyBorder="1"/>
    <xf numFmtId="0" fontId="0" fillId="0" borderId="0" xfId="0" applyAlignment="1">
      <alignment horizontal="center" vertical="top"/>
    </xf>
    <xf numFmtId="0" fontId="0" fillId="0" borderId="0" xfId="0" applyAlignment="1">
      <alignment horizontal="center" vertical="top" wrapText="1"/>
    </xf>
    <xf numFmtId="0" fontId="24" fillId="0" borderId="0" xfId="0" applyFont="1"/>
    <xf numFmtId="0" fontId="23" fillId="4" borderId="0" xfId="6" applyFont="1" applyFill="1" applyAlignment="1" applyProtection="1">
      <alignment horizontal="right"/>
    </xf>
    <xf numFmtId="0" fontId="30" fillId="0" borderId="0" xfId="6" applyFont="1" applyFill="1" applyProtection="1"/>
    <xf numFmtId="0" fontId="0" fillId="0" borderId="0" xfId="0" applyAlignment="1">
      <alignment horizontal="centerContinuous"/>
    </xf>
    <xf numFmtId="0" fontId="0" fillId="0" borderId="3" xfId="0" applyBorder="1"/>
    <xf numFmtId="49" fontId="0" fillId="0" borderId="0" xfId="0" applyNumberFormat="1" applyAlignment="1">
      <alignment horizontal="right"/>
    </xf>
    <xf numFmtId="3" fontId="0" fillId="0" borderId="3" xfId="0" applyNumberFormat="1" applyBorder="1"/>
    <xf numFmtId="3" fontId="0" fillId="0" borderId="0" xfId="0" applyNumberFormat="1"/>
    <xf numFmtId="0" fontId="0" fillId="0" borderId="4" xfId="0" applyBorder="1" applyAlignment="1">
      <alignment horizontal="centerContinuous"/>
    </xf>
    <xf numFmtId="49" fontId="0" fillId="0" borderId="0" xfId="0" applyNumberFormat="1" applyAlignment="1">
      <alignment horizontal="center"/>
    </xf>
    <xf numFmtId="0" fontId="6" fillId="0" borderId="0" xfId="6" applyFont="1" applyProtection="1"/>
    <xf numFmtId="0" fontId="32" fillId="0" borderId="0" xfId="0" applyFont="1"/>
    <xf numFmtId="0" fontId="31" fillId="0" borderId="0" xfId="0" applyFont="1" applyAlignment="1">
      <alignment horizontal="center"/>
    </xf>
    <xf numFmtId="0" fontId="31" fillId="0" borderId="0" xfId="0" applyFont="1"/>
    <xf numFmtId="0" fontId="0" fillId="0" borderId="4" xfId="0" applyBorder="1" applyAlignment="1">
      <alignment horizontal="center"/>
    </xf>
    <xf numFmtId="0" fontId="0" fillId="0" borderId="0" xfId="0" applyAlignment="1">
      <alignment vertical="top" wrapText="1"/>
    </xf>
    <xf numFmtId="0" fontId="0" fillId="0" borderId="0" xfId="0" applyAlignment="1">
      <alignment horizontal="justify" vertical="top" wrapText="1"/>
    </xf>
    <xf numFmtId="0" fontId="0" fillId="0" borderId="0" xfId="0" applyAlignment="1">
      <alignment wrapText="1"/>
    </xf>
    <xf numFmtId="14" fontId="0" fillId="0" borderId="0" xfId="0" applyNumberFormat="1" applyAlignment="1">
      <alignment horizontal="center"/>
    </xf>
    <xf numFmtId="49" fontId="0" fillId="0" borderId="0" xfId="0" applyNumberFormat="1"/>
    <xf numFmtId="49" fontId="0" fillId="0" borderId="0" xfId="0" applyNumberFormat="1" applyAlignment="1">
      <alignment horizontal="left"/>
    </xf>
    <xf numFmtId="0" fontId="0" fillId="0" borderId="3" xfId="0" applyBorder="1" applyAlignment="1">
      <alignment horizontal="center"/>
    </xf>
    <xf numFmtId="0" fontId="0" fillId="0" borderId="0" xfId="0" quotePrefix="1"/>
    <xf numFmtId="0" fontId="0" fillId="0" borderId="0" xfId="0" applyAlignment="1">
      <alignment vertical="top"/>
    </xf>
    <xf numFmtId="0" fontId="1" fillId="0" borderId="0" xfId="0" applyFont="1" applyAlignment="1">
      <alignment wrapText="1"/>
    </xf>
    <xf numFmtId="0" fontId="33" fillId="0" borderId="0" xfId="0" applyFont="1"/>
    <xf numFmtId="166" fontId="0" fillId="0" borderId="17" xfId="0" applyNumberFormat="1" applyBorder="1" applyAlignment="1">
      <alignment horizontal="right" vertical="top"/>
    </xf>
    <xf numFmtId="0" fontId="35" fillId="0" borderId="0" xfId="0" applyFont="1" applyAlignment="1">
      <alignment horizontal="center"/>
    </xf>
    <xf numFmtId="0" fontId="2" fillId="0" borderId="0" xfId="7" applyFont="1" applyAlignment="1">
      <alignment horizontal="center" vertical="top" wrapText="1"/>
    </xf>
    <xf numFmtId="0" fontId="2" fillId="0" borderId="0" xfId="7" applyFont="1" applyAlignment="1">
      <alignment horizontal="center" vertical="top"/>
    </xf>
    <xf numFmtId="0" fontId="29" fillId="0" borderId="0" xfId="6" applyFont="1" applyAlignment="1" applyProtection="1">
      <alignment horizontal="center" vertical="top"/>
    </xf>
    <xf numFmtId="0" fontId="29" fillId="0" borderId="0" xfId="6" applyFont="1" applyAlignment="1" applyProtection="1">
      <alignment horizontal="center" vertical="top" wrapText="1"/>
    </xf>
    <xf numFmtId="0" fontId="41" fillId="0" borderId="0" xfId="0" quotePrefix="1" applyFont="1" applyAlignment="1">
      <alignment vertical="top" wrapText="1"/>
    </xf>
    <xf numFmtId="0" fontId="3" fillId="0" borderId="0" xfId="6" applyAlignment="1" applyProtection="1">
      <alignment vertical="top" wrapText="1"/>
    </xf>
    <xf numFmtId="0" fontId="0" fillId="6" borderId="0" xfId="0" applyFill="1" applyAlignment="1">
      <alignment vertical="top" wrapText="1"/>
    </xf>
    <xf numFmtId="0" fontId="41" fillId="0" borderId="0" xfId="0" applyFont="1" applyAlignment="1">
      <alignment vertical="top" wrapText="1"/>
    </xf>
    <xf numFmtId="0" fontId="29" fillId="6" borderId="0" xfId="6" applyFont="1" applyFill="1" applyAlignment="1" applyProtection="1">
      <alignment horizontal="center" vertical="top"/>
    </xf>
    <xf numFmtId="0" fontId="0" fillId="6" borderId="0" xfId="0" applyFill="1" applyAlignment="1">
      <alignment horizontal="center" vertical="top" wrapText="1"/>
    </xf>
    <xf numFmtId="0" fontId="19" fillId="0" borderId="0" xfId="0" applyFont="1" applyAlignment="1">
      <alignment vertical="top" wrapText="1"/>
    </xf>
    <xf numFmtId="49" fontId="0" fillId="0" borderId="0" xfId="8" applyNumberFormat="1" applyFont="1" applyAlignment="1">
      <alignment horizontal="center"/>
    </xf>
    <xf numFmtId="0" fontId="0" fillId="0" borderId="27" xfId="8" applyFont="1" applyBorder="1"/>
    <xf numFmtId="0" fontId="1" fillId="0" borderId="27" xfId="8" applyFont="1" applyBorder="1"/>
    <xf numFmtId="0" fontId="1" fillId="0" borderId="0" xfId="8" applyFont="1" applyAlignment="1">
      <alignment horizontal="center" wrapText="1"/>
    </xf>
    <xf numFmtId="172" fontId="0" fillId="0" borderId="0" xfId="8" applyNumberFormat="1" applyFont="1" applyAlignment="1">
      <alignment horizontal="center"/>
    </xf>
    <xf numFmtId="0" fontId="1" fillId="0" borderId="0" xfId="0" applyFont="1" applyAlignment="1">
      <alignment horizontal="left" vertical="top"/>
    </xf>
    <xf numFmtId="172" fontId="1" fillId="0" borderId="0" xfId="2" applyNumberFormat="1" applyFont="1" applyFill="1" applyAlignment="1" applyProtection="1">
      <alignment horizontal="center" vertical="top" wrapText="1"/>
    </xf>
    <xf numFmtId="172" fontId="1" fillId="0" borderId="0" xfId="8" applyNumberFormat="1" applyFont="1" applyAlignment="1">
      <alignment horizontal="center"/>
    </xf>
    <xf numFmtId="172" fontId="0" fillId="0" borderId="0" xfId="8" applyNumberFormat="1" applyFont="1"/>
    <xf numFmtId="0" fontId="1" fillId="0" borderId="0" xfId="0" applyFont="1" applyAlignment="1">
      <alignment horizontal="left" vertical="top" wrapText="1"/>
    </xf>
    <xf numFmtId="172" fontId="0" fillId="0" borderId="0" xfId="0" applyNumberFormat="1" applyAlignment="1">
      <alignment vertical="top" wrapText="1"/>
    </xf>
    <xf numFmtId="172" fontId="1" fillId="0" borderId="0" xfId="0" applyNumberFormat="1" applyFont="1" applyAlignment="1">
      <alignment vertical="top" wrapText="1"/>
    </xf>
    <xf numFmtId="0" fontId="1" fillId="0" borderId="27" xfId="0" applyFont="1" applyBorder="1" applyAlignment="1">
      <alignment horizontal="left" vertical="top" wrapText="1"/>
    </xf>
    <xf numFmtId="172" fontId="0" fillId="0" borderId="27" xfId="8" applyNumberFormat="1" applyFont="1" applyBorder="1"/>
    <xf numFmtId="172" fontId="0" fillId="0" borderId="27" xfId="8" applyNumberFormat="1" applyFont="1" applyBorder="1" applyAlignment="1">
      <alignment horizontal="center"/>
    </xf>
    <xf numFmtId="172" fontId="1" fillId="0" borderId="27" xfId="8" applyNumberFormat="1" applyFont="1" applyBorder="1" applyAlignment="1">
      <alignment horizontal="center"/>
    </xf>
    <xf numFmtId="0" fontId="1" fillId="0" borderId="0" xfId="8" applyFont="1" applyBorder="1" applyAlignment="1">
      <alignment horizontal="center" vertical="center"/>
    </xf>
    <xf numFmtId="0" fontId="1" fillId="0" borderId="0" xfId="8" applyFont="1" applyAlignment="1">
      <alignment horizontal="center" vertical="center" wrapText="1"/>
    </xf>
    <xf numFmtId="0" fontId="0" fillId="0" borderId="0" xfId="8" applyFont="1" applyAlignment="1">
      <alignment horizontal="center"/>
    </xf>
    <xf numFmtId="170" fontId="0" fillId="6" borderId="0" xfId="8" applyNumberFormat="1" applyFont="1" applyFill="1" applyAlignment="1">
      <alignment horizontal="center"/>
    </xf>
    <xf numFmtId="0" fontId="1" fillId="0" borderId="0" xfId="0" applyFont="1" applyAlignment="1">
      <alignment vertical="top"/>
    </xf>
    <xf numFmtId="172" fontId="1" fillId="0" borderId="0" xfId="0" applyNumberFormat="1" applyFont="1" applyAlignment="1">
      <alignment horizontal="center" wrapText="1"/>
    </xf>
    <xf numFmtId="0" fontId="1" fillId="0" borderId="0" xfId="0" applyFont="1" applyAlignment="1">
      <alignment vertical="top" wrapText="1"/>
    </xf>
    <xf numFmtId="172" fontId="1" fillId="0" borderId="0" xfId="8" applyNumberFormat="1" applyFont="1" applyBorder="1" applyAlignment="1">
      <alignment horizontal="center"/>
    </xf>
    <xf numFmtId="170" fontId="0" fillId="0" borderId="0" xfId="8" applyNumberFormat="1" applyFont="1" applyBorder="1"/>
    <xf numFmtId="0" fontId="0" fillId="0" borderId="0" xfId="0" applyAlignment="1">
      <alignment vertical="center" wrapText="1"/>
    </xf>
    <xf numFmtId="171" fontId="0" fillId="0" borderId="0" xfId="8" applyNumberFormat="1" applyFont="1" applyAlignment="1">
      <alignment horizontal="left"/>
    </xf>
    <xf numFmtId="172" fontId="0" fillId="0" borderId="0" xfId="8" applyNumberFormat="1" applyFont="1" applyAlignment="1">
      <alignment horizontal="right"/>
    </xf>
    <xf numFmtId="0" fontId="1" fillId="0" borderId="0" xfId="0" applyFont="1" applyAlignment="1">
      <alignment vertical="center" wrapText="1"/>
    </xf>
    <xf numFmtId="177" fontId="0" fillId="0" borderId="0" xfId="8" applyNumberFormat="1" applyFont="1"/>
    <xf numFmtId="171" fontId="1" fillId="0" borderId="0" xfId="8" applyNumberFormat="1" applyFont="1" applyAlignment="1">
      <alignment horizontal="left"/>
    </xf>
    <xf numFmtId="177" fontId="1" fillId="6" borderId="0" xfId="8" applyNumberFormat="1" applyFont="1" applyFill="1" applyAlignment="1">
      <alignment horizontal="left"/>
    </xf>
    <xf numFmtId="177" fontId="0" fillId="0" borderId="0" xfId="8" applyNumberFormat="1" applyFont="1" applyAlignment="1">
      <alignment horizontal="left"/>
    </xf>
    <xf numFmtId="177" fontId="1" fillId="0" borderId="0" xfId="8" applyNumberFormat="1" applyFont="1" applyAlignment="1">
      <alignment horizontal="left"/>
    </xf>
    <xf numFmtId="2" fontId="1" fillId="0" borderId="0" xfId="8" applyNumberFormat="1" applyFont="1"/>
    <xf numFmtId="0" fontId="1" fillId="0" borderId="27" xfId="0" applyFont="1" applyBorder="1" applyAlignment="1">
      <alignment horizontal="center" vertical="top" wrapText="1"/>
    </xf>
    <xf numFmtId="172" fontId="0" fillId="0" borderId="0" xfId="8" applyNumberFormat="1" applyFont="1" applyAlignment="1">
      <alignment horizontal="left"/>
    </xf>
    <xf numFmtId="177" fontId="0" fillId="6" borderId="27" xfId="2" applyNumberFormat="1" applyFont="1" applyFill="1" applyBorder="1" applyAlignment="1" applyProtection="1">
      <alignment horizontal="left"/>
    </xf>
    <xf numFmtId="0" fontId="0" fillId="0" borderId="27" xfId="8" applyFont="1" applyBorder="1" applyAlignment="1">
      <alignment horizontal="right"/>
    </xf>
    <xf numFmtId="49" fontId="0" fillId="0" borderId="3" xfId="0" applyNumberFormat="1" applyBorder="1"/>
    <xf numFmtId="0" fontId="33" fillId="3" borderId="0" xfId="0" applyFont="1" applyFill="1"/>
    <xf numFmtId="49" fontId="0" fillId="0" borderId="0" xfId="0" applyNumberFormat="1" applyAlignment="1">
      <alignment horizontal="left" vertical="top"/>
    </xf>
    <xf numFmtId="0" fontId="35" fillId="0" borderId="0" xfId="0" applyFont="1"/>
    <xf numFmtId="0" fontId="0" fillId="0" borderId="0" xfId="0" applyAlignment="1">
      <alignment horizontal="left" vertical="center"/>
    </xf>
    <xf numFmtId="0" fontId="0" fillId="0" borderId="4" xfId="0" applyBorder="1" applyAlignment="1">
      <alignment horizontal="left" vertical="center"/>
    </xf>
    <xf numFmtId="0" fontId="0" fillId="0" borderId="2" xfId="0" applyBorder="1"/>
    <xf numFmtId="0" fontId="33" fillId="3" borderId="0" xfId="0" applyFont="1" applyFill="1" applyAlignment="1">
      <alignment vertical="center"/>
    </xf>
    <xf numFmtId="0" fontId="0" fillId="0" borderId="0" xfId="0" applyAlignment="1">
      <alignment horizontal="left" wrapText="1"/>
    </xf>
    <xf numFmtId="0" fontId="11" fillId="0" borderId="0" xfId="0" applyFont="1" applyAlignment="1">
      <alignment vertical="center"/>
    </xf>
    <xf numFmtId="0" fontId="0" fillId="0" borderId="3" xfId="0" applyBorder="1" applyAlignment="1">
      <alignment horizontal="centerContinuous"/>
    </xf>
    <xf numFmtId="0" fontId="28" fillId="0" borderId="0" xfId="0" applyFont="1"/>
    <xf numFmtId="0" fontId="0" fillId="0" borderId="13" xfId="0" applyBorder="1" applyAlignment="1">
      <alignment horizontal="center"/>
    </xf>
    <xf numFmtId="0" fontId="0" fillId="0" borderId="18" xfId="0" applyBorder="1" applyAlignment="1">
      <alignment horizontal="centerContinuous"/>
    </xf>
    <xf numFmtId="0" fontId="0" fillId="0" borderId="16" xfId="0" applyBorder="1" applyAlignment="1">
      <alignment horizontal="centerContinuous"/>
    </xf>
    <xf numFmtId="0" fontId="0" fillId="0" borderId="5" xfId="0" applyBorder="1" applyAlignment="1">
      <alignment horizontal="center"/>
    </xf>
    <xf numFmtId="0" fontId="0" fillId="0" borderId="13" xfId="0" applyBorder="1"/>
    <xf numFmtId="0" fontId="29" fillId="4" borderId="13" xfId="6" applyFont="1" applyFill="1" applyBorder="1" applyAlignment="1" applyProtection="1">
      <alignment horizontal="center"/>
    </xf>
    <xf numFmtId="0" fontId="1" fillId="0" borderId="3" xfId="0" applyFont="1" applyBorder="1"/>
    <xf numFmtId="0" fontId="0" fillId="0" borderId="1" xfId="0" applyBorder="1" applyAlignment="1">
      <alignment horizontal="center"/>
    </xf>
    <xf numFmtId="38" fontId="0" fillId="0" borderId="7" xfId="0" applyNumberFormat="1" applyBorder="1"/>
    <xf numFmtId="38" fontId="0" fillId="0" borderId="5" xfId="0" applyNumberFormat="1" applyBorder="1"/>
    <xf numFmtId="0" fontId="0" fillId="0" borderId="5" xfId="0" applyBorder="1"/>
    <xf numFmtId="0" fontId="0" fillId="0" borderId="7" xfId="0" applyBorder="1"/>
    <xf numFmtId="38" fontId="0" fillId="0" borderId="1" xfId="0" applyNumberFormat="1" applyBorder="1"/>
    <xf numFmtId="38" fontId="0" fillId="0" borderId="10" xfId="0" applyNumberFormat="1" applyBorder="1"/>
    <xf numFmtId="38" fontId="0" fillId="0" borderId="11" xfId="0" applyNumberFormat="1" applyBorder="1"/>
    <xf numFmtId="166" fontId="0" fillId="0" borderId="13" xfId="0" applyNumberFormat="1" applyBorder="1"/>
    <xf numFmtId="164" fontId="0" fillId="0" borderId="0" xfId="0" applyNumberFormat="1" applyAlignment="1">
      <alignment horizontal="left"/>
    </xf>
    <xf numFmtId="166" fontId="0" fillId="0" borderId="1" xfId="0" applyNumberFormat="1" applyBorder="1"/>
    <xf numFmtId="164" fontId="0" fillId="0" borderId="11" xfId="0" applyNumberFormat="1" applyBorder="1" applyAlignment="1">
      <alignment horizontal="left"/>
    </xf>
    <xf numFmtId="38" fontId="0" fillId="0" borderId="2" xfId="0" applyNumberFormat="1" applyBorder="1"/>
    <xf numFmtId="164" fontId="0" fillId="0" borderId="4" xfId="0" applyNumberFormat="1" applyBorder="1"/>
    <xf numFmtId="38" fontId="0" fillId="0" borderId="6" xfId="0" applyNumberFormat="1" applyBorder="1"/>
    <xf numFmtId="164" fontId="0" fillId="0" borderId="6" xfId="0" applyNumberFormat="1" applyBorder="1"/>
    <xf numFmtId="38" fontId="0" fillId="0" borderId="13" xfId="0" applyNumberFormat="1" applyBorder="1"/>
    <xf numFmtId="166" fontId="0" fillId="0" borderId="4" xfId="0" applyNumberFormat="1" applyBorder="1"/>
    <xf numFmtId="166" fontId="0" fillId="0" borderId="2" xfId="0" applyNumberFormat="1" applyBorder="1"/>
    <xf numFmtId="38" fontId="0" fillId="0" borderId="0" xfId="0" applyNumberFormat="1"/>
    <xf numFmtId="166" fontId="0" fillId="0" borderId="0" xfId="0" applyNumberFormat="1"/>
    <xf numFmtId="164" fontId="0" fillId="0" borderId="3" xfId="0" applyNumberFormat="1" applyBorder="1"/>
    <xf numFmtId="0" fontId="29" fillId="4" borderId="3" xfId="6" applyFont="1" applyFill="1" applyBorder="1" applyProtection="1"/>
    <xf numFmtId="0" fontId="26" fillId="4" borderId="3" xfId="6" applyFont="1" applyFill="1" applyBorder="1" applyProtection="1"/>
    <xf numFmtId="38" fontId="0" fillId="7" borderId="1" xfId="0" applyNumberFormat="1" applyFill="1" applyBorder="1"/>
    <xf numFmtId="0" fontId="0" fillId="0" borderId="17" xfId="0" applyBorder="1"/>
    <xf numFmtId="3" fontId="0" fillId="0" borderId="1" xfId="0" applyNumberFormat="1" applyBorder="1"/>
    <xf numFmtId="37" fontId="0" fillId="0" borderId="1" xfId="0" applyNumberFormat="1" applyBorder="1"/>
    <xf numFmtId="0" fontId="1" fillId="0" borderId="0" xfId="0" applyFont="1" applyAlignment="1">
      <alignment horizontal="centerContinuous"/>
    </xf>
    <xf numFmtId="0" fontId="27" fillId="0" borderId="0" xfId="6" applyFont="1" applyAlignment="1" applyProtection="1">
      <alignment horizontal="centerContinuous"/>
    </xf>
    <xf numFmtId="0" fontId="26" fillId="0" borderId="0" xfId="6" applyFont="1" applyAlignment="1" applyProtection="1">
      <alignment horizontal="centerContinuous"/>
    </xf>
    <xf numFmtId="0" fontId="7" fillId="4" borderId="0" xfId="6" applyFont="1" applyFill="1" applyAlignment="1" applyProtection="1">
      <alignment horizontal="centerContinuous"/>
    </xf>
    <xf numFmtId="0" fontId="27" fillId="4" borderId="0" xfId="6" applyFont="1" applyFill="1" applyAlignment="1" applyProtection="1">
      <alignment horizontal="centerContinuous"/>
    </xf>
    <xf numFmtId="0" fontId="0" fillId="0" borderId="2" xfId="0" applyBorder="1" applyAlignment="1">
      <alignment horizontal="center" wrapText="1"/>
    </xf>
    <xf numFmtId="164" fontId="0" fillId="0" borderId="0" xfId="0" applyNumberFormat="1" applyAlignment="1">
      <alignment horizontal="right" vertical="center"/>
    </xf>
    <xf numFmtId="38" fontId="0" fillId="0" borderId="1" xfId="0" applyNumberFormat="1" applyBorder="1" applyAlignment="1">
      <alignment vertical="center"/>
    </xf>
    <xf numFmtId="164" fontId="0" fillId="0" borderId="0" xfId="0" applyNumberFormat="1" applyAlignment="1">
      <alignment vertical="center"/>
    </xf>
    <xf numFmtId="0" fontId="29" fillId="4" borderId="0" xfId="6" applyFont="1" applyFill="1" applyAlignment="1" applyProtection="1">
      <alignment vertical="center"/>
    </xf>
    <xf numFmtId="0" fontId="0" fillId="4" borderId="0" xfId="0" applyFill="1" applyAlignment="1">
      <alignment vertical="center"/>
    </xf>
    <xf numFmtId="38" fontId="0" fillId="0" borderId="2" xfId="0" applyNumberFormat="1" applyBorder="1" applyAlignment="1">
      <alignment vertical="center"/>
    </xf>
    <xf numFmtId="38" fontId="0" fillId="0" borderId="0" xfId="0" applyNumberFormat="1" applyAlignment="1">
      <alignment vertical="center"/>
    </xf>
    <xf numFmtId="38" fontId="0" fillId="0" borderId="0" xfId="0" applyNumberFormat="1" applyAlignment="1">
      <alignment vertical="center" readingOrder="1"/>
    </xf>
    <xf numFmtId="38" fontId="0" fillId="0" borderId="7" xfId="0" applyNumberFormat="1" applyBorder="1" applyAlignment="1">
      <alignment vertical="center"/>
    </xf>
    <xf numFmtId="0" fontId="29" fillId="4" borderId="0" xfId="6" applyFont="1" applyFill="1" applyProtection="1"/>
    <xf numFmtId="38" fontId="0" fillId="0" borderId="9" xfId="0" applyNumberFormat="1" applyBorder="1" applyAlignment="1">
      <alignment vertical="center"/>
    </xf>
    <xf numFmtId="38" fontId="0" fillId="0" borderId="30" xfId="0" applyNumberFormat="1" applyBorder="1" applyAlignment="1">
      <alignment vertical="center"/>
    </xf>
    <xf numFmtId="0" fontId="29" fillId="0" borderId="0" xfId="6" applyFont="1" applyAlignment="1" applyProtection="1">
      <alignment vertical="center"/>
    </xf>
    <xf numFmtId="0" fontId="1" fillId="0" borderId="0" xfId="0" applyFont="1" applyAlignment="1">
      <alignment vertical="center"/>
    </xf>
    <xf numFmtId="38" fontId="0" fillId="0" borderId="14" xfId="0" applyNumberFormat="1" applyBorder="1"/>
    <xf numFmtId="38" fontId="0" fillId="4" borderId="0" xfId="0" applyNumberFormat="1" applyFill="1" applyAlignment="1">
      <alignment vertical="center"/>
    </xf>
    <xf numFmtId="0" fontId="10" fillId="4" borderId="0" xfId="6" applyFont="1" applyFill="1" applyAlignment="1" applyProtection="1">
      <alignment horizontal="centerContinuous"/>
    </xf>
    <xf numFmtId="165" fontId="0" fillId="0" borderId="0" xfId="0" applyNumberFormat="1"/>
    <xf numFmtId="0" fontId="30" fillId="4" borderId="0" xfId="6" applyFont="1" applyFill="1" applyAlignment="1" applyProtection="1">
      <alignment horizontal="left" vertical="center"/>
    </xf>
    <xf numFmtId="0" fontId="32" fillId="4" borderId="0" xfId="6" applyFont="1" applyFill="1" applyProtection="1"/>
    <xf numFmtId="0" fontId="39" fillId="4" borderId="0" xfId="6" applyFont="1" applyFill="1" applyProtection="1"/>
    <xf numFmtId="0" fontId="27" fillId="4" borderId="0" xfId="6" applyFont="1" applyFill="1" applyProtection="1"/>
    <xf numFmtId="0" fontId="40" fillId="4" borderId="0" xfId="6" applyFont="1" applyFill="1" applyAlignment="1" applyProtection="1">
      <alignment vertical="center"/>
    </xf>
    <xf numFmtId="0" fontId="27" fillId="0" borderId="0" xfId="6" applyFont="1" applyProtection="1"/>
    <xf numFmtId="38" fontId="0" fillId="0" borderId="31" xfId="0" applyNumberFormat="1" applyBorder="1" applyAlignment="1">
      <alignment vertical="center"/>
    </xf>
    <xf numFmtId="0" fontId="30" fillId="4" borderId="0" xfId="6" applyFont="1" applyFill="1" applyAlignment="1" applyProtection="1">
      <alignment vertical="center"/>
    </xf>
    <xf numFmtId="38" fontId="35" fillId="0" borderId="0" xfId="0" applyNumberFormat="1" applyFont="1"/>
    <xf numFmtId="164" fontId="35" fillId="0" borderId="0" xfId="0" applyNumberFormat="1" applyFont="1" applyAlignment="1">
      <alignment horizontal="right" vertical="center"/>
    </xf>
    <xf numFmtId="0" fontId="1" fillId="0" borderId="0" xfId="6" applyFont="1" applyAlignment="1" applyProtection="1">
      <alignment horizontal="centerContinuous" vertical="center"/>
    </xf>
    <xf numFmtId="0" fontId="30" fillId="4" borderId="0" xfId="6" applyFont="1" applyFill="1" applyAlignment="1" applyProtection="1">
      <alignment horizontal="centerContinuous" vertical="center"/>
    </xf>
    <xf numFmtId="164" fontId="0" fillId="0" borderId="0" xfId="0" quotePrefix="1" applyNumberFormat="1" applyAlignment="1">
      <alignment horizontal="right" vertical="center"/>
    </xf>
    <xf numFmtId="0" fontId="29" fillId="0" borderId="0" xfId="6" applyFont="1" applyFill="1" applyAlignment="1" applyProtection="1">
      <alignment vertical="center"/>
    </xf>
    <xf numFmtId="40" fontId="0" fillId="0" borderId="2" xfId="0" applyNumberFormat="1" applyBorder="1" applyAlignment="1">
      <alignment vertical="center"/>
    </xf>
    <xf numFmtId="38" fontId="0" fillId="0" borderId="8" xfId="0" applyNumberFormat="1" applyBorder="1"/>
    <xf numFmtId="164" fontId="0" fillId="0" borderId="0" xfId="0" applyNumberFormat="1" applyAlignment="1">
      <alignment vertical="top"/>
    </xf>
    <xf numFmtId="0" fontId="35" fillId="0" borderId="0" xfId="0" applyFont="1" applyAlignment="1">
      <alignment vertical="center"/>
    </xf>
    <xf numFmtId="40" fontId="35" fillId="0" borderId="0" xfId="0" applyNumberFormat="1" applyFont="1" applyAlignment="1">
      <alignment vertical="center"/>
    </xf>
    <xf numFmtId="0" fontId="1" fillId="0" borderId="5" xfId="0" applyFont="1" applyBorder="1" applyAlignment="1">
      <alignment horizontal="left"/>
    </xf>
    <xf numFmtId="0" fontId="0" fillId="0" borderId="12" xfId="0" applyBorder="1" applyAlignment="1">
      <alignment horizontal="centerContinuous"/>
    </xf>
    <xf numFmtId="0" fontId="0" fillId="0" borderId="15" xfId="0" applyBorder="1" applyAlignment="1">
      <alignment horizontal="centerContinuous"/>
    </xf>
    <xf numFmtId="0" fontId="0" fillId="0" borderId="7" xfId="0" applyBorder="1" applyAlignment="1">
      <alignment horizontal="centerContinuous"/>
    </xf>
    <xf numFmtId="0" fontId="0" fillId="0" borderId="7" xfId="0" applyBorder="1" applyAlignment="1">
      <alignment horizontal="center" wrapText="1"/>
    </xf>
    <xf numFmtId="0" fontId="0" fillId="0" borderId="7" xfId="0" applyBorder="1" applyAlignment="1">
      <alignment horizontal="center"/>
    </xf>
    <xf numFmtId="0" fontId="1" fillId="0" borderId="11" xfId="0" applyFont="1" applyBorder="1"/>
    <xf numFmtId="0" fontId="0" fillId="0" borderId="13" xfId="0" applyBorder="1" applyAlignment="1">
      <alignment horizontal="center" wrapText="1"/>
    </xf>
    <xf numFmtId="0" fontId="0" fillId="0" borderId="6" xfId="0" applyBorder="1"/>
    <xf numFmtId="0" fontId="0" fillId="0" borderId="10" xfId="0" applyBorder="1" applyAlignment="1">
      <alignment horizontal="center"/>
    </xf>
    <xf numFmtId="0" fontId="29" fillId="4" borderId="11" xfId="6" applyFont="1" applyFill="1" applyBorder="1" applyProtection="1"/>
    <xf numFmtId="0" fontId="26" fillId="4" borderId="0" xfId="6" applyFont="1" applyFill="1" applyProtection="1"/>
    <xf numFmtId="38" fontId="0" fillId="0" borderId="15" xfId="0" applyNumberFormat="1" applyBorder="1"/>
    <xf numFmtId="0" fontId="0" fillId="0" borderId="0" xfId="0" applyAlignment="1">
      <alignment horizontal="justify" wrapText="1"/>
    </xf>
    <xf numFmtId="0" fontId="4" fillId="0" borderId="0" xfId="0" applyFont="1" applyAlignment="1">
      <alignment horizontal="justify" wrapText="1"/>
    </xf>
    <xf numFmtId="164" fontId="0" fillId="0" borderId="16" xfId="0" applyNumberFormat="1" applyBorder="1"/>
    <xf numFmtId="38" fontId="0" fillId="0" borderId="18" xfId="0" applyNumberFormat="1" applyBorder="1" applyAlignment="1">
      <alignment horizontal="right"/>
    </xf>
    <xf numFmtId="38" fontId="0" fillId="0" borderId="2" xfId="0" applyNumberFormat="1" applyBorder="1" applyAlignment="1">
      <alignment horizontal="right"/>
    </xf>
    <xf numFmtId="0" fontId="3" fillId="4" borderId="0" xfId="6" applyFill="1" applyProtection="1"/>
    <xf numFmtId="0" fontId="28" fillId="0" borderId="0" xfId="0" applyFont="1" applyAlignment="1">
      <alignment horizontal="centerContinuous"/>
    </xf>
    <xf numFmtId="0" fontId="1" fillId="0" borderId="5" xfId="0" applyFont="1" applyBorder="1"/>
    <xf numFmtId="0" fontId="0" fillId="0" borderId="12" xfId="0" applyBorder="1"/>
    <xf numFmtId="0" fontId="0" fillId="0" borderId="15" xfId="0" applyBorder="1"/>
    <xf numFmtId="0" fontId="0" fillId="0" borderId="5" xfId="0" applyBorder="1" applyAlignment="1">
      <alignment horizontal="centerContinuous"/>
    </xf>
    <xf numFmtId="0" fontId="0" fillId="0" borderId="10" xfId="0" applyBorder="1" applyAlignment="1">
      <alignment horizontal="centerContinuous"/>
    </xf>
    <xf numFmtId="0" fontId="0" fillId="0" borderId="6" xfId="0" applyBorder="1" applyAlignment="1">
      <alignment horizontal="centerContinuous"/>
    </xf>
    <xf numFmtId="0" fontId="1" fillId="0" borderId="10" xfId="0" applyFont="1" applyBorder="1"/>
    <xf numFmtId="0" fontId="29" fillId="4" borderId="5" xfId="6" applyFont="1" applyFill="1" applyBorder="1" applyProtection="1"/>
    <xf numFmtId="0" fontId="3" fillId="4" borderId="12" xfId="6" applyFill="1" applyBorder="1" applyProtection="1"/>
    <xf numFmtId="164" fontId="3" fillId="0" borderId="12" xfId="6" applyNumberFormat="1" applyBorder="1" applyProtection="1"/>
    <xf numFmtId="0" fontId="3" fillId="0" borderId="7" xfId="6" applyBorder="1" applyProtection="1"/>
    <xf numFmtId="173" fontId="0" fillId="0" borderId="15" xfId="0" applyNumberFormat="1" applyBorder="1"/>
    <xf numFmtId="173" fontId="0" fillId="0" borderId="13" xfId="0" applyNumberFormat="1" applyBorder="1"/>
    <xf numFmtId="173" fontId="0" fillId="0" borderId="4" xfId="0" applyNumberFormat="1" applyBorder="1"/>
    <xf numFmtId="173" fontId="0" fillId="0" borderId="1" xfId="0" applyNumberFormat="1" applyBorder="1"/>
    <xf numFmtId="38" fontId="0" fillId="0" borderId="1" xfId="0" applyNumberFormat="1" applyBorder="1" applyAlignment="1">
      <alignment horizontal="right"/>
    </xf>
    <xf numFmtId="166" fontId="0" fillId="0" borderId="1" xfId="1" applyNumberFormat="1" applyFont="1" applyBorder="1" applyAlignment="1" applyProtection="1">
      <alignment horizontal="right"/>
    </xf>
    <xf numFmtId="173" fontId="0" fillId="0" borderId="2" xfId="0" applyNumberFormat="1" applyBorder="1"/>
    <xf numFmtId="166" fontId="0" fillId="0" borderId="2" xfId="1" applyNumberFormat="1" applyFont="1" applyBorder="1" applyAlignment="1" applyProtection="1">
      <alignment horizontal="right"/>
    </xf>
    <xf numFmtId="166" fontId="0" fillId="0" borderId="7" xfId="1" applyNumberFormat="1" applyFont="1" applyBorder="1" applyAlignment="1" applyProtection="1">
      <alignment horizontal="right"/>
    </xf>
    <xf numFmtId="0" fontId="26" fillId="4" borderId="12" xfId="6" applyFont="1" applyFill="1" applyBorder="1" applyProtection="1"/>
    <xf numFmtId="164" fontId="0" fillId="0" borderId="12" xfId="0" applyNumberFormat="1" applyBorder="1"/>
    <xf numFmtId="49" fontId="24" fillId="0" borderId="3" xfId="0" applyNumberFormat="1" applyFont="1" applyBorder="1"/>
    <xf numFmtId="0" fontId="24" fillId="0" borderId="12" xfId="0" applyFont="1" applyBorder="1"/>
    <xf numFmtId="0" fontId="24" fillId="0" borderId="7" xfId="0" applyFont="1" applyBorder="1" applyAlignment="1">
      <alignment horizontal="center"/>
    </xf>
    <xf numFmtId="0" fontId="24" fillId="0" borderId="11" xfId="0" applyFont="1" applyBorder="1"/>
    <xf numFmtId="0" fontId="24" fillId="0" borderId="4" xfId="0" applyFont="1" applyBorder="1" applyAlignment="1">
      <alignment horizontal="center"/>
    </xf>
    <xf numFmtId="0" fontId="24" fillId="0" borderId="6" xfId="0" applyFont="1" applyBorder="1" applyAlignment="1">
      <alignment horizontal="center"/>
    </xf>
    <xf numFmtId="38" fontId="24" fillId="0" borderId="1" xfId="0" applyNumberFormat="1" applyFont="1" applyBorder="1"/>
    <xf numFmtId="166" fontId="0" fillId="0" borderId="7" xfId="0" applyNumberFormat="1" applyBorder="1"/>
    <xf numFmtId="0" fontId="24" fillId="0" borderId="7" xfId="0" applyFont="1" applyBorder="1"/>
    <xf numFmtId="0" fontId="24" fillId="0" borderId="5" xfId="0" applyFont="1" applyBorder="1"/>
    <xf numFmtId="38" fontId="24" fillId="0" borderId="10" xfId="0" applyNumberFormat="1" applyFont="1" applyBorder="1"/>
    <xf numFmtId="0" fontId="24" fillId="0" borderId="0" xfId="0" applyFont="1" applyAlignment="1">
      <alignment vertical="center" wrapText="1"/>
    </xf>
    <xf numFmtId="38" fontId="24" fillId="0" borderId="2" xfId="0" applyNumberFormat="1" applyFont="1" applyBorder="1"/>
    <xf numFmtId="0" fontId="24" fillId="0" borderId="15" xfId="0" applyFont="1" applyBorder="1"/>
    <xf numFmtId="0" fontId="1" fillId="0" borderId="11" xfId="0" applyFont="1" applyBorder="1" applyAlignment="1">
      <alignment horizontal="left"/>
    </xf>
    <xf numFmtId="0" fontId="25" fillId="0" borderId="0" xfId="0" applyFont="1" applyAlignment="1">
      <alignment horizontal="left"/>
    </xf>
    <xf numFmtId="0" fontId="24" fillId="0" borderId="4" xfId="0" applyFont="1" applyBorder="1"/>
    <xf numFmtId="0" fontId="25" fillId="0" borderId="10" xfId="0" applyFont="1" applyBorder="1" applyAlignment="1">
      <alignment horizontal="left"/>
    </xf>
    <xf numFmtId="0" fontId="25" fillId="0" borderId="3" xfId="0" applyFont="1" applyBorder="1" applyAlignment="1">
      <alignment horizontal="left"/>
    </xf>
    <xf numFmtId="0" fontId="24" fillId="0" borderId="6" xfId="0" applyFont="1" applyBorder="1"/>
    <xf numFmtId="38" fontId="24" fillId="0" borderId="7" xfId="0" applyNumberFormat="1" applyFont="1" applyBorder="1"/>
    <xf numFmtId="0" fontId="24" fillId="0" borderId="0" xfId="0" applyFont="1" applyAlignment="1">
      <alignment horizontal="left"/>
    </xf>
    <xf numFmtId="38" fontId="24" fillId="0" borderId="0" xfId="0" applyNumberFormat="1" applyFont="1"/>
    <xf numFmtId="0" fontId="24" fillId="0" borderId="10" xfId="0" applyFont="1" applyBorder="1"/>
    <xf numFmtId="0" fontId="24" fillId="0" borderId="3" xfId="0" applyFont="1" applyBorder="1"/>
    <xf numFmtId="38" fontId="24" fillId="0" borderId="13" xfId="0" applyNumberFormat="1" applyFont="1" applyBorder="1"/>
    <xf numFmtId="38" fontId="24" fillId="0" borderId="11" xfId="0" applyNumberFormat="1" applyFont="1" applyBorder="1"/>
    <xf numFmtId="0" fontId="25" fillId="0" borderId="11" xfId="0" applyFont="1" applyBorder="1"/>
    <xf numFmtId="0" fontId="24" fillId="0" borderId="18" xfId="0" applyFont="1" applyBorder="1"/>
    <xf numFmtId="0" fontId="24" fillId="0" borderId="17" xfId="0" applyFont="1" applyBorder="1"/>
    <xf numFmtId="0" fontId="31" fillId="0" borderId="0" xfId="0" applyFont="1" applyAlignment="1">
      <alignment vertical="top" wrapText="1"/>
    </xf>
    <xf numFmtId="0" fontId="24" fillId="0" borderId="0" xfId="0" applyFont="1" applyAlignment="1">
      <alignment horizontal="center"/>
    </xf>
    <xf numFmtId="0" fontId="24" fillId="0" borderId="16" xfId="0" applyFont="1" applyBorder="1"/>
    <xf numFmtId="0" fontId="24" fillId="0" borderId="0" xfId="0" applyFont="1" applyAlignment="1">
      <alignment vertical="top"/>
    </xf>
    <xf numFmtId="0" fontId="24" fillId="0" borderId="0" xfId="0" applyFont="1" applyAlignment="1">
      <alignment horizontal="right"/>
    </xf>
    <xf numFmtId="0" fontId="37" fillId="0" borderId="0" xfId="0" applyFont="1"/>
    <xf numFmtId="0" fontId="37" fillId="0" borderId="3" xfId="0" applyFont="1" applyBorder="1" applyAlignment="1">
      <alignment horizontal="left"/>
    </xf>
    <xf numFmtId="0" fontId="37" fillId="0" borderId="0" xfId="0" applyFont="1" applyAlignment="1">
      <alignment horizontal="left"/>
    </xf>
    <xf numFmtId="0" fontId="16" fillId="0" borderId="0" xfId="0" applyFont="1" applyAlignment="1">
      <alignment horizontal="left"/>
    </xf>
    <xf numFmtId="0" fontId="38" fillId="0" borderId="0" xfId="0" applyFont="1" applyAlignment="1">
      <alignment horizontal="center" vertical="top"/>
    </xf>
    <xf numFmtId="0" fontId="37" fillId="0" borderId="0" xfId="0" applyFont="1" applyAlignment="1">
      <alignment vertical="top"/>
    </xf>
    <xf numFmtId="176" fontId="0" fillId="0" borderId="10" xfId="0" applyNumberFormat="1" applyBorder="1" applyAlignment="1">
      <alignment horizontal="right"/>
    </xf>
    <xf numFmtId="0" fontId="0" fillId="5" borderId="10" xfId="0" applyFill="1" applyBorder="1" applyAlignment="1">
      <alignment horizontal="center"/>
    </xf>
    <xf numFmtId="0" fontId="0" fillId="5" borderId="16" xfId="0" applyFill="1" applyBorder="1" applyAlignment="1">
      <alignment horizontal="center"/>
    </xf>
    <xf numFmtId="0" fontId="0" fillId="3" borderId="18" xfId="0" applyFill="1" applyBorder="1" applyAlignment="1">
      <alignment horizontal="center"/>
    </xf>
    <xf numFmtId="178" fontId="0" fillId="0" borderId="6" xfId="0" applyNumberFormat="1" applyBorder="1"/>
    <xf numFmtId="0" fontId="7" fillId="0" borderId="0" xfId="6" applyFont="1" applyProtection="1"/>
    <xf numFmtId="0" fontId="3" fillId="0" borderId="0" xfId="6" applyProtection="1"/>
    <xf numFmtId="0" fontId="0" fillId="0" borderId="16" xfId="0" applyBorder="1"/>
    <xf numFmtId="0" fontId="33" fillId="3" borderId="18" xfId="0" applyFont="1" applyFill="1" applyBorder="1"/>
    <xf numFmtId="0" fontId="0" fillId="5" borderId="18" xfId="0" applyFill="1" applyBorder="1"/>
    <xf numFmtId="0" fontId="0" fillId="5" borderId="16" xfId="0" applyFill="1" applyBorder="1"/>
    <xf numFmtId="0" fontId="0" fillId="3" borderId="18" xfId="0" applyFill="1" applyBorder="1"/>
    <xf numFmtId="164" fontId="0" fillId="0" borderId="0" xfId="0" applyNumberFormat="1" applyAlignment="1">
      <alignment horizontal="right"/>
    </xf>
    <xf numFmtId="0" fontId="0" fillId="3" borderId="0" xfId="0" applyFill="1"/>
    <xf numFmtId="0" fontId="29" fillId="3" borderId="0" xfId="6" applyFont="1" applyFill="1" applyProtection="1"/>
    <xf numFmtId="175" fontId="0" fillId="0" borderId="0" xfId="0" applyNumberFormat="1"/>
    <xf numFmtId="0" fontId="16" fillId="0" borderId="0" xfId="0" applyFont="1"/>
    <xf numFmtId="168" fontId="0" fillId="0" borderId="0" xfId="0" applyNumberFormat="1" applyAlignment="1">
      <alignment horizontal="right"/>
    </xf>
    <xf numFmtId="164" fontId="30" fillId="0" borderId="0" xfId="6" applyNumberFormat="1" applyFont="1" applyProtection="1"/>
    <xf numFmtId="0" fontId="0" fillId="0" borderId="18" xfId="8" applyFont="1" applyBorder="1" applyAlignment="1">
      <alignment horizontal="center" wrapText="1"/>
    </xf>
    <xf numFmtId="0" fontId="0" fillId="0" borderId="0" xfId="8" applyFont="1" applyAlignment="1">
      <alignment horizontal="center" wrapText="1"/>
    </xf>
    <xf numFmtId="171" fontId="0" fillId="0" borderId="18" xfId="8" applyNumberFormat="1" applyFont="1" applyBorder="1" applyAlignment="1">
      <alignment wrapText="1"/>
    </xf>
    <xf numFmtId="168" fontId="0" fillId="0" borderId="0" xfId="8" applyNumberFormat="1" applyFont="1" applyAlignment="1">
      <alignment horizontal="right" wrapText="1"/>
    </xf>
    <xf numFmtId="171" fontId="0" fillId="5" borderId="2" xfId="0" applyNumberFormat="1" applyFill="1" applyBorder="1"/>
    <xf numFmtId="0" fontId="0" fillId="0" borderId="0" xfId="8" applyFont="1" applyAlignment="1">
      <alignment vertical="top"/>
    </xf>
    <xf numFmtId="171" fontId="0" fillId="0" borderId="18" xfId="8" applyNumberFormat="1" applyFont="1" applyBorder="1"/>
    <xf numFmtId="49" fontId="0" fillId="0" borderId="0" xfId="0" applyNumberFormat="1" applyAlignment="1">
      <alignment vertical="top"/>
    </xf>
    <xf numFmtId="168" fontId="0" fillId="0" borderId="0" xfId="8" applyNumberFormat="1" applyFont="1" applyBorder="1" applyAlignment="1">
      <alignment vertical="top" wrapText="1"/>
    </xf>
    <xf numFmtId="168" fontId="0" fillId="0" borderId="0" xfId="8" applyNumberFormat="1" applyFont="1" applyBorder="1" applyAlignment="1">
      <alignment vertical="top"/>
    </xf>
    <xf numFmtId="168" fontId="0" fillId="0" borderId="0" xfId="8" applyNumberFormat="1" applyFont="1" applyBorder="1" applyAlignment="1">
      <alignment horizontal="center" vertical="top" wrapText="1"/>
    </xf>
    <xf numFmtId="168" fontId="0" fillId="0" borderId="0" xfId="8" applyNumberFormat="1" applyFont="1" applyAlignment="1">
      <alignment horizontal="right" vertical="top" wrapText="1"/>
    </xf>
    <xf numFmtId="168" fontId="0" fillId="0" borderId="0" xfId="8" applyNumberFormat="1" applyFont="1" applyAlignment="1">
      <alignment vertical="top"/>
    </xf>
    <xf numFmtId="49" fontId="0" fillId="6" borderId="0" xfId="0" applyNumberFormat="1" applyFill="1" applyAlignment="1">
      <alignment vertical="top"/>
    </xf>
    <xf numFmtId="0" fontId="0" fillId="6" borderId="0" xfId="8" applyFont="1" applyFill="1" applyAlignment="1">
      <alignment vertical="top"/>
    </xf>
    <xf numFmtId="0" fontId="0" fillId="6" borderId="0" xfId="8" applyFont="1" applyFill="1" applyAlignment="1">
      <alignment vertical="top" wrapText="1"/>
    </xf>
    <xf numFmtId="0" fontId="0" fillId="0" borderId="0" xfId="8" applyFont="1" applyAlignment="1">
      <alignment vertical="top" wrapText="1"/>
    </xf>
    <xf numFmtId="0" fontId="0" fillId="0" borderId="0" xfId="8" applyFont="1" applyAlignment="1">
      <alignment horizontal="left" vertical="top" wrapText="1"/>
    </xf>
    <xf numFmtId="164" fontId="0" fillId="0" borderId="0" xfId="8" quotePrefix="1" applyNumberFormat="1" applyFont="1" applyAlignment="1">
      <alignment horizontal="left"/>
    </xf>
    <xf numFmtId="39" fontId="0" fillId="0" borderId="0" xfId="0" applyNumberFormat="1"/>
    <xf numFmtId="0" fontId="45" fillId="0" borderId="2" xfId="11" applyFont="1" applyBorder="1"/>
    <xf numFmtId="0" fontId="13" fillId="0" borderId="2" xfId="11" applyFont="1" applyBorder="1"/>
    <xf numFmtId="0" fontId="29" fillId="4" borderId="0" xfId="6" applyFont="1" applyFill="1" applyAlignment="1" applyProtection="1">
      <alignment horizontal="left"/>
    </xf>
    <xf numFmtId="0" fontId="6" fillId="4" borderId="0" xfId="6" applyFont="1" applyFill="1" applyBorder="1" applyAlignment="1" applyProtection="1">
      <alignment horizontal="left"/>
    </xf>
    <xf numFmtId="0" fontId="31" fillId="0" borderId="0" xfId="0" applyFont="1" applyAlignment="1">
      <alignment horizontal="center"/>
    </xf>
    <xf numFmtId="0" fontId="0" fillId="0" borderId="3" xfId="0" applyBorder="1" applyAlignment="1" applyProtection="1">
      <alignment horizontal="center"/>
      <protection locked="0"/>
    </xf>
    <xf numFmtId="0" fontId="0" fillId="0" borderId="12" xfId="0" applyBorder="1" applyAlignment="1">
      <alignment horizontal="center"/>
    </xf>
    <xf numFmtId="0" fontId="10" fillId="0" borderId="0" xfId="6" applyFont="1" applyAlignment="1" applyProtection="1">
      <alignment horizontal="center"/>
    </xf>
    <xf numFmtId="0" fontId="10" fillId="0" borderId="4" xfId="6" applyFont="1" applyBorder="1" applyAlignment="1" applyProtection="1">
      <alignment horizontal="center"/>
    </xf>
    <xf numFmtId="0" fontId="0" fillId="0" borderId="3" xfId="0" applyBorder="1" applyProtection="1">
      <protection locked="0"/>
    </xf>
    <xf numFmtId="49" fontId="0" fillId="0" borderId="3" xfId="0" applyNumberFormat="1" applyBorder="1" applyProtection="1">
      <protection locked="0"/>
    </xf>
    <xf numFmtId="167" fontId="0" fillId="0" borderId="17" xfId="0" applyNumberFormat="1" applyBorder="1" applyAlignment="1" applyProtection="1">
      <alignment horizontal="left"/>
      <protection locked="0"/>
    </xf>
    <xf numFmtId="49" fontId="0" fillId="0" borderId="3" xfId="0" applyNumberFormat="1" applyBorder="1" applyAlignment="1" applyProtection="1">
      <alignment horizontal="center"/>
      <protection locked="0"/>
    </xf>
    <xf numFmtId="0" fontId="0" fillId="0" borderId="3" xfId="0" applyBorder="1" applyAlignment="1" applyProtection="1">
      <alignment horizontal="left"/>
      <protection locked="0"/>
    </xf>
    <xf numFmtId="0" fontId="0" fillId="0" borderId="17" xfId="0" applyBorder="1" applyAlignment="1" applyProtection="1">
      <alignment horizontal="left"/>
      <protection locked="0"/>
    </xf>
    <xf numFmtId="0" fontId="1" fillId="0" borderId="0" xfId="0" applyFont="1" applyAlignment="1">
      <alignment horizontal="left"/>
    </xf>
    <xf numFmtId="0" fontId="18" fillId="0" borderId="0" xfId="0" applyFont="1" applyAlignment="1">
      <alignment horizontal="left"/>
    </xf>
    <xf numFmtId="0" fontId="43" fillId="0" borderId="0" xfId="0" applyFont="1" applyAlignment="1">
      <alignment horizontal="center" vertical="center" wrapText="1"/>
    </xf>
    <xf numFmtId="0" fontId="0" fillId="0" borderId="0" xfId="0" applyAlignment="1">
      <alignment horizontal="left"/>
    </xf>
    <xf numFmtId="0" fontId="0" fillId="0" borderId="0" xfId="0" applyAlignment="1">
      <alignment horizontal="center"/>
    </xf>
    <xf numFmtId="0" fontId="1" fillId="0" borderId="0" xfId="0" applyFont="1" applyAlignment="1">
      <alignment horizontal="center"/>
    </xf>
    <xf numFmtId="0" fontId="3" fillId="0" borderId="4" xfId="6" applyBorder="1" applyAlignment="1" applyProtection="1">
      <alignment horizontal="center" vertical="center"/>
    </xf>
    <xf numFmtId="0" fontId="0" fillId="0" borderId="5" xfId="0" quotePrefix="1" applyBorder="1" applyAlignment="1" applyProtection="1">
      <alignment horizontal="left" vertical="top" wrapText="1"/>
      <protection locked="0"/>
    </xf>
    <xf numFmtId="0" fontId="0" fillId="0" borderId="12" xfId="0" quotePrefix="1" applyBorder="1" applyAlignment="1" applyProtection="1">
      <alignment horizontal="left" vertical="top" wrapText="1"/>
      <protection locked="0"/>
    </xf>
    <xf numFmtId="0" fontId="0" fillId="0" borderId="15" xfId="0" quotePrefix="1" applyBorder="1" applyAlignment="1" applyProtection="1">
      <alignment horizontal="left" vertical="top" wrapText="1"/>
      <protection locked="0"/>
    </xf>
    <xf numFmtId="0" fontId="0" fillId="0" borderId="11" xfId="0" quotePrefix="1" applyBorder="1" applyAlignment="1" applyProtection="1">
      <alignment horizontal="left" vertical="top" wrapText="1"/>
      <protection locked="0"/>
    </xf>
    <xf numFmtId="0" fontId="0" fillId="0" borderId="0" xfId="0" quotePrefix="1" applyAlignment="1" applyProtection="1">
      <alignment horizontal="left" vertical="top" wrapText="1"/>
      <protection locked="0"/>
    </xf>
    <xf numFmtId="0" fontId="0" fillId="0" borderId="4" xfId="0" quotePrefix="1" applyBorder="1" applyAlignment="1" applyProtection="1">
      <alignment horizontal="left" vertical="top" wrapText="1"/>
      <protection locked="0"/>
    </xf>
    <xf numFmtId="0" fontId="0" fillId="0" borderId="10" xfId="0" quotePrefix="1" applyBorder="1" applyAlignment="1" applyProtection="1">
      <alignment horizontal="left" vertical="top" wrapText="1"/>
      <protection locked="0"/>
    </xf>
    <xf numFmtId="0" fontId="0" fillId="0" borderId="3" xfId="0" quotePrefix="1" applyBorder="1" applyAlignment="1" applyProtection="1">
      <alignment horizontal="left" vertical="top" wrapText="1"/>
      <protection locked="0"/>
    </xf>
    <xf numFmtId="0" fontId="0" fillId="0" borderId="6" xfId="0" quotePrefix="1" applyBorder="1" applyAlignment="1" applyProtection="1">
      <alignment horizontal="left" vertical="top" wrapText="1"/>
      <protection locked="0"/>
    </xf>
    <xf numFmtId="0" fontId="0" fillId="0" borderId="0" xfId="0"/>
    <xf numFmtId="174" fontId="0" fillId="0" borderId="3" xfId="0" applyNumberFormat="1" applyBorder="1" applyAlignment="1" applyProtection="1">
      <alignment horizontal="center"/>
      <protection locked="0"/>
    </xf>
    <xf numFmtId="0" fontId="2" fillId="0" borderId="0" xfId="0" applyFont="1" applyAlignment="1">
      <alignment horizontal="center"/>
    </xf>
    <xf numFmtId="164" fontId="0" fillId="0" borderId="0" xfId="0" applyNumberFormat="1"/>
    <xf numFmtId="167" fontId="0" fillId="0" borderId="3" xfId="0" applyNumberFormat="1" applyBorder="1" applyAlignment="1" applyProtection="1">
      <alignment horizontal="left"/>
      <protection locked="0"/>
    </xf>
    <xf numFmtId="0" fontId="12" fillId="0" borderId="12" xfId="0" applyFont="1" applyBorder="1" applyAlignment="1">
      <alignment horizontal="center"/>
    </xf>
    <xf numFmtId="0" fontId="6" fillId="4" borderId="0" xfId="6" applyFont="1" applyFill="1" applyAlignment="1" applyProtection="1">
      <alignment horizontal="center"/>
    </xf>
    <xf numFmtId="0" fontId="6" fillId="4" borderId="12" xfId="6" applyFont="1" applyFill="1" applyBorder="1" applyAlignment="1" applyProtection="1">
      <alignment horizontal="center"/>
    </xf>
    <xf numFmtId="0" fontId="45" fillId="0" borderId="18" xfId="11" applyFont="1" applyBorder="1"/>
    <xf numFmtId="0" fontId="45" fillId="0" borderId="16" xfId="11" applyFont="1" applyBorder="1"/>
    <xf numFmtId="0" fontId="45" fillId="0" borderId="18" xfId="11" applyFont="1" applyBorder="1" applyAlignment="1">
      <alignment horizontal="left"/>
    </xf>
    <xf numFmtId="0" fontId="45" fillId="0" borderId="16" xfId="11" applyFont="1" applyBorder="1" applyAlignment="1">
      <alignment horizontal="left"/>
    </xf>
    <xf numFmtId="0" fontId="45" fillId="0" borderId="18" xfId="11" applyFont="1" applyBorder="1" applyAlignment="1">
      <alignment horizontal="center"/>
    </xf>
    <xf numFmtId="0" fontId="45" fillId="0" borderId="17" xfId="11" applyFont="1" applyBorder="1" applyAlignment="1">
      <alignment horizontal="center"/>
    </xf>
    <xf numFmtId="0" fontId="45" fillId="0" borderId="17" xfId="11" applyFont="1" applyBorder="1" applyAlignment="1">
      <alignment horizontal="left"/>
    </xf>
    <xf numFmtId="0" fontId="0" fillId="0" borderId="3" xfId="0" applyBorder="1" applyAlignment="1">
      <alignment horizontal="center"/>
    </xf>
    <xf numFmtId="0" fontId="0" fillId="0" borderId="18" xfId="0" applyBorder="1" applyAlignment="1" applyProtection="1">
      <alignment horizontal="left"/>
      <protection locked="0"/>
    </xf>
    <xf numFmtId="0" fontId="0" fillId="0" borderId="16" xfId="0" applyBorder="1" applyAlignment="1" applyProtection="1">
      <alignment horizontal="left"/>
      <protection locked="0"/>
    </xf>
    <xf numFmtId="0" fontId="0" fillId="0" borderId="5"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0" xfId="0" applyAlignment="1">
      <alignment horizontal="left" vertical="center"/>
    </xf>
    <xf numFmtId="0" fontId="0" fillId="0" borderId="4" xfId="0" applyBorder="1" applyAlignment="1">
      <alignment horizontal="left" vertical="center"/>
    </xf>
    <xf numFmtId="0" fontId="0" fillId="0" borderId="3" xfId="0" applyBorder="1" applyAlignment="1">
      <alignment horizontal="left" vertical="top"/>
    </xf>
    <xf numFmtId="49" fontId="30" fillId="4" borderId="0" xfId="6" applyNumberFormat="1" applyFont="1" applyFill="1" applyAlignment="1" applyProtection="1">
      <alignment horizontal="center" vertical="top"/>
    </xf>
    <xf numFmtId="0" fontId="0" fillId="0" borderId="18" xfId="0" applyBorder="1" applyAlignment="1">
      <alignment horizontal="center"/>
    </xf>
    <xf numFmtId="0" fontId="0" fillId="0" borderId="16" xfId="0" applyBorder="1" applyAlignment="1">
      <alignment horizontal="center"/>
    </xf>
    <xf numFmtId="0" fontId="11" fillId="0" borderId="0" xfId="0" applyFont="1" applyAlignment="1">
      <alignment horizontal="left" vertical="center"/>
    </xf>
    <xf numFmtId="0" fontId="0" fillId="0" borderId="0" xfId="0" applyAlignment="1">
      <alignment horizontal="left" wrapText="1"/>
    </xf>
    <xf numFmtId="0" fontId="0" fillId="0" borderId="4" xfId="0" applyBorder="1" applyAlignment="1">
      <alignment horizontal="left"/>
    </xf>
    <xf numFmtId="0" fontId="0" fillId="0" borderId="3" xfId="0" applyBorder="1" applyAlignment="1">
      <alignment horizontal="left"/>
    </xf>
    <xf numFmtId="49" fontId="0" fillId="0" borderId="3" xfId="0" applyNumberFormat="1" applyBorder="1" applyAlignment="1">
      <alignment horizontal="center"/>
    </xf>
    <xf numFmtId="0" fontId="3" fillId="0" borderId="0" xfId="6" applyAlignment="1" applyProtection="1">
      <alignment horizontal="center" vertical="center"/>
    </xf>
    <xf numFmtId="0" fontId="8" fillId="0" borderId="0" xfId="6" applyFont="1" applyAlignment="1" applyProtection="1">
      <alignment horizontal="center" vertical="center"/>
    </xf>
    <xf numFmtId="0" fontId="0" fillId="0" borderId="0" xfId="0" applyAlignment="1">
      <alignment horizontal="left" vertical="top" wrapText="1"/>
    </xf>
    <xf numFmtId="0" fontId="0" fillId="0" borderId="4" xfId="0" applyBorder="1" applyAlignment="1">
      <alignment horizontal="left" vertical="top" wrapText="1"/>
    </xf>
    <xf numFmtId="0" fontId="30" fillId="4" borderId="0" xfId="6" applyFont="1" applyFill="1" applyAlignment="1" applyProtection="1">
      <alignment horizontal="right"/>
    </xf>
    <xf numFmtId="0" fontId="44" fillId="4" borderId="0" xfId="6" applyFont="1" applyFill="1" applyAlignment="1" applyProtection="1">
      <alignment horizontal="right"/>
    </xf>
    <xf numFmtId="0" fontId="0" fillId="0" borderId="2" xfId="0" applyBorder="1" applyAlignment="1">
      <alignment horizontal="center" wrapText="1"/>
    </xf>
    <xf numFmtId="0" fontId="26" fillId="4" borderId="0" xfId="6" applyFont="1" applyFill="1" applyAlignment="1" applyProtection="1">
      <alignment horizontal="left" vertical="top" wrapText="1"/>
    </xf>
    <xf numFmtId="0" fontId="3" fillId="0" borderId="12" xfId="6" applyBorder="1" applyAlignment="1" applyProtection="1">
      <alignment horizontal="center" vertical="center"/>
    </xf>
    <xf numFmtId="0" fontId="1" fillId="0" borderId="18" xfId="0" applyFont="1" applyBorder="1" applyAlignment="1">
      <alignment horizontal="center"/>
    </xf>
    <xf numFmtId="0" fontId="1" fillId="0" borderId="17" xfId="0" applyFont="1" applyBorder="1" applyAlignment="1">
      <alignment horizontal="center"/>
    </xf>
    <xf numFmtId="0" fontId="1" fillId="0" borderId="16" xfId="0" applyFont="1" applyBorder="1" applyAlignment="1">
      <alignment horizontal="center"/>
    </xf>
    <xf numFmtId="0" fontId="1" fillId="0" borderId="2" xfId="0" applyFont="1" applyBorder="1" applyAlignment="1">
      <alignment horizontal="center"/>
    </xf>
    <xf numFmtId="0" fontId="0" fillId="0" borderId="5" xfId="0" applyBorder="1" applyAlignment="1">
      <alignment horizontal="center" vertical="center" wrapText="1"/>
    </xf>
    <xf numFmtId="0" fontId="0" fillId="0" borderId="12" xfId="0" applyBorder="1" applyAlignment="1">
      <alignment horizontal="center" vertical="center" wrapText="1"/>
    </xf>
    <xf numFmtId="0" fontId="0" fillId="0" borderId="15" xfId="0" applyBorder="1" applyAlignment="1">
      <alignment horizontal="center" vertical="center" wrapText="1"/>
    </xf>
    <xf numFmtId="0" fontId="0" fillId="0" borderId="11" xfId="0" applyBorder="1" applyAlignment="1">
      <alignment horizontal="center" vertical="center" wrapText="1"/>
    </xf>
    <xf numFmtId="0" fontId="0" fillId="0" borderId="0" xfId="0" applyAlignment="1">
      <alignment horizontal="center" vertical="center" wrapText="1"/>
    </xf>
    <xf numFmtId="0" fontId="0" fillId="0" borderId="4" xfId="0" applyBorder="1" applyAlignment="1">
      <alignment horizontal="center" vertical="center" wrapText="1"/>
    </xf>
    <xf numFmtId="0" fontId="0" fillId="0" borderId="10" xfId="0" applyBorder="1" applyAlignment="1">
      <alignment horizontal="center" vertical="center" wrapText="1"/>
    </xf>
    <xf numFmtId="0" fontId="0" fillId="0" borderId="3" xfId="0" applyBorder="1" applyAlignment="1">
      <alignment horizontal="center" vertical="center" wrapText="1"/>
    </xf>
    <xf numFmtId="0" fontId="0" fillId="0" borderId="6" xfId="0" applyBorder="1" applyAlignment="1">
      <alignment horizontal="center" vertical="center" wrapText="1"/>
    </xf>
    <xf numFmtId="0" fontId="24" fillId="0" borderId="5" xfId="0" applyFont="1" applyBorder="1" applyAlignment="1">
      <alignment horizontal="center"/>
    </xf>
    <xf numFmtId="0" fontId="24" fillId="0" borderId="15" xfId="0" applyFont="1" applyBorder="1" applyAlignment="1">
      <alignment horizontal="center"/>
    </xf>
    <xf numFmtId="0" fontId="24" fillId="0" borderId="18" xfId="0" applyFont="1" applyBorder="1" applyAlignment="1">
      <alignment horizontal="center"/>
    </xf>
    <xf numFmtId="0" fontId="24" fillId="0" borderId="16" xfId="0" applyFont="1" applyBorder="1" applyAlignment="1">
      <alignment horizontal="center"/>
    </xf>
    <xf numFmtId="0" fontId="0" fillId="0" borderId="10" xfId="0" applyBorder="1" applyAlignment="1">
      <alignment horizontal="left"/>
    </xf>
    <xf numFmtId="0" fontId="0" fillId="0" borderId="2" xfId="0" applyBorder="1" applyAlignment="1">
      <alignment horizontal="left"/>
    </xf>
    <xf numFmtId="38" fontId="24" fillId="0" borderId="18" xfId="0" applyNumberFormat="1" applyFont="1" applyBorder="1" applyAlignment="1">
      <alignment horizontal="center"/>
    </xf>
    <xf numFmtId="38" fontId="24" fillId="0" borderId="16" xfId="0" applyNumberFormat="1" applyFont="1" applyBorder="1" applyAlignment="1">
      <alignment horizontal="center"/>
    </xf>
    <xf numFmtId="0" fontId="31" fillId="0" borderId="0" xfId="0" applyFont="1" applyAlignment="1">
      <alignment horizontal="center" vertical="top" wrapText="1"/>
    </xf>
    <xf numFmtId="0" fontId="24" fillId="0" borderId="5" xfId="0" applyFont="1" applyBorder="1" applyAlignment="1">
      <alignment horizontal="left" vertical="top" wrapText="1"/>
    </xf>
    <xf numFmtId="0" fontId="24" fillId="0" borderId="12" xfId="0" applyFont="1" applyBorder="1" applyAlignment="1">
      <alignment horizontal="left" vertical="top" wrapText="1"/>
    </xf>
    <xf numFmtId="0" fontId="24" fillId="0" borderId="15" xfId="0" applyFont="1" applyBorder="1" applyAlignment="1">
      <alignment horizontal="left" vertical="top" wrapText="1"/>
    </xf>
    <xf numFmtId="0" fontId="24" fillId="0" borderId="11" xfId="0" applyFont="1" applyBorder="1" applyAlignment="1">
      <alignment horizontal="left" vertical="top" wrapText="1"/>
    </xf>
    <xf numFmtId="0" fontId="24" fillId="0" borderId="0" xfId="0" applyFont="1" applyAlignment="1">
      <alignment horizontal="left" vertical="top" wrapText="1"/>
    </xf>
    <xf numFmtId="0" fontId="24" fillId="0" borderId="4" xfId="0" applyFont="1" applyBorder="1" applyAlignment="1">
      <alignment horizontal="left" vertical="top" wrapText="1"/>
    </xf>
    <xf numFmtId="0" fontId="24" fillId="0" borderId="10" xfId="0" applyFont="1" applyBorder="1" applyAlignment="1">
      <alignment horizontal="left" vertical="top" wrapText="1"/>
    </xf>
    <xf numFmtId="0" fontId="24" fillId="0" borderId="3" xfId="0" applyFont="1" applyBorder="1" applyAlignment="1">
      <alignment horizontal="left" vertical="top" wrapText="1"/>
    </xf>
    <xf numFmtId="0" fontId="24" fillId="0" borderId="6" xfId="0" applyFont="1" applyBorder="1" applyAlignment="1">
      <alignment horizontal="left" vertical="top" wrapText="1"/>
    </xf>
    <xf numFmtId="171" fontId="0" fillId="0" borderId="18" xfId="8" applyNumberFormat="1" applyFont="1" applyBorder="1" applyAlignment="1" applyProtection="1">
      <alignment horizontal="center"/>
      <protection locked="0"/>
    </xf>
    <xf numFmtId="171" fontId="0" fillId="0" borderId="16" xfId="8" applyNumberFormat="1" applyFont="1" applyBorder="1" applyAlignment="1" applyProtection="1">
      <alignment horizontal="center"/>
      <protection locked="0"/>
    </xf>
    <xf numFmtId="0" fontId="0" fillId="8" borderId="0" xfId="0" applyFill="1" applyAlignment="1">
      <alignment horizontal="left" vertical="top" wrapText="1"/>
    </xf>
    <xf numFmtId="178" fontId="0" fillId="0" borderId="3" xfId="0" applyNumberFormat="1" applyBorder="1" applyProtection="1">
      <protection locked="0"/>
    </xf>
    <xf numFmtId="178" fontId="0" fillId="0" borderId="6" xfId="0" applyNumberFormat="1" applyBorder="1" applyProtection="1">
      <protection locked="0"/>
    </xf>
    <xf numFmtId="171" fontId="0" fillId="0" borderId="18" xfId="8" applyNumberFormat="1" applyFont="1" applyBorder="1" applyAlignment="1">
      <alignment horizontal="center" wrapText="1"/>
    </xf>
    <xf numFmtId="171" fontId="0" fillId="0" borderId="16" xfId="8" applyNumberFormat="1" applyFont="1" applyBorder="1" applyAlignment="1">
      <alignment horizontal="center" wrapText="1"/>
    </xf>
    <xf numFmtId="178" fontId="0" fillId="0" borderId="17" xfId="0" applyNumberFormat="1" applyBorder="1" applyAlignment="1" applyProtection="1">
      <alignment horizontal="right"/>
      <protection locked="0"/>
    </xf>
    <xf numFmtId="178" fontId="0" fillId="0" borderId="16" xfId="0" applyNumberFormat="1" applyBorder="1" applyAlignment="1" applyProtection="1">
      <alignment horizontal="right"/>
      <protection locked="0"/>
    </xf>
    <xf numFmtId="171" fontId="0" fillId="5" borderId="18" xfId="0" applyNumberFormat="1" applyFill="1" applyBorder="1" applyAlignment="1">
      <alignment horizontal="center"/>
    </xf>
    <xf numFmtId="171" fontId="0" fillId="5" borderId="16" xfId="0" applyNumberFormat="1" applyFill="1" applyBorder="1" applyAlignment="1">
      <alignment horizontal="center"/>
    </xf>
    <xf numFmtId="178" fontId="0" fillId="0" borderId="17" xfId="0" applyNumberFormat="1" applyBorder="1" applyAlignment="1">
      <alignment horizontal="right"/>
    </xf>
    <xf numFmtId="178" fontId="0" fillId="0" borderId="16" xfId="0" applyNumberFormat="1" applyBorder="1" applyAlignment="1">
      <alignment horizontal="right"/>
    </xf>
    <xf numFmtId="178" fontId="0" fillId="0" borderId="17" xfId="0" applyNumberFormat="1" applyBorder="1" applyProtection="1">
      <protection locked="0"/>
    </xf>
    <xf numFmtId="178" fontId="0" fillId="0" borderId="16" xfId="0" applyNumberFormat="1" applyBorder="1" applyProtection="1">
      <protection locked="0"/>
    </xf>
    <xf numFmtId="0" fontId="0" fillId="6" borderId="2" xfId="0" applyFill="1" applyBorder="1" applyAlignment="1" applyProtection="1">
      <alignment horizontal="left" vertical="center" wrapText="1"/>
      <protection locked="0"/>
    </xf>
    <xf numFmtId="178" fontId="0" fillId="0" borderId="3" xfId="0" applyNumberFormat="1" applyBorder="1" applyAlignment="1" applyProtection="1">
      <alignment horizontal="right"/>
      <protection locked="0"/>
    </xf>
    <xf numFmtId="178" fontId="0" fillId="0" borderId="6" xfId="0" applyNumberFormat="1" applyBorder="1" applyAlignment="1" applyProtection="1">
      <alignment horizontal="right"/>
      <protection locked="0"/>
    </xf>
    <xf numFmtId="0" fontId="24" fillId="0" borderId="2" xfId="0" applyFont="1" applyBorder="1" applyAlignment="1" applyProtection="1">
      <alignment horizontal="left" vertical="center" wrapText="1"/>
      <protection locked="0"/>
    </xf>
    <xf numFmtId="49" fontId="0" fillId="0" borderId="18" xfId="0" applyNumberFormat="1" applyBorder="1" applyAlignment="1">
      <alignment horizontal="center"/>
    </xf>
    <xf numFmtId="49" fontId="0" fillId="0" borderId="17" xfId="0" applyNumberFormat="1" applyBorder="1" applyAlignment="1">
      <alignment horizontal="center"/>
    </xf>
    <xf numFmtId="49" fontId="0" fillId="0" borderId="16" xfId="0" applyNumberFormat="1" applyBorder="1" applyAlignment="1">
      <alignment horizontal="center"/>
    </xf>
    <xf numFmtId="0" fontId="0" fillId="0" borderId="2" xfId="0" applyBorder="1"/>
    <xf numFmtId="0" fontId="0" fillId="0" borderId="10" xfId="0" applyBorder="1"/>
    <xf numFmtId="0" fontId="0" fillId="0" borderId="3" xfId="0" applyBorder="1"/>
    <xf numFmtId="0" fontId="0" fillId="0" borderId="6" xfId="0" applyBorder="1"/>
    <xf numFmtId="0" fontId="0" fillId="0" borderId="18" xfId="0" applyBorder="1" applyAlignment="1">
      <alignment horizontal="left"/>
    </xf>
    <xf numFmtId="0" fontId="0" fillId="0" borderId="17" xfId="0" applyBorder="1" applyAlignment="1">
      <alignment horizontal="left"/>
    </xf>
    <xf numFmtId="0" fontId="0" fillId="0" borderId="16" xfId="0" applyBorder="1" applyAlignment="1">
      <alignment horizontal="left"/>
    </xf>
    <xf numFmtId="178" fontId="0" fillId="0" borderId="10" xfId="0" applyNumberFormat="1" applyBorder="1" applyAlignment="1" applyProtection="1">
      <alignment horizontal="right"/>
      <protection locked="0"/>
    </xf>
    <xf numFmtId="0" fontId="16" fillId="0" borderId="0" xfId="0" applyFont="1" applyAlignment="1">
      <alignment horizontal="left" vertical="top" wrapText="1"/>
    </xf>
    <xf numFmtId="0" fontId="0" fillId="0" borderId="18" xfId="0" applyBorder="1" applyAlignment="1">
      <alignment horizontal="left" vertical="top"/>
    </xf>
    <xf numFmtId="0" fontId="0" fillId="0" borderId="17" xfId="0" applyBorder="1" applyAlignment="1">
      <alignment horizontal="left" vertical="top"/>
    </xf>
    <xf numFmtId="0" fontId="0" fillId="0" borderId="16" xfId="0" applyBorder="1" applyAlignment="1">
      <alignment horizontal="left" vertical="top"/>
    </xf>
    <xf numFmtId="0" fontId="0" fillId="0" borderId="2" xfId="0" applyBorder="1" applyAlignment="1">
      <alignment horizontal="left" vertical="center" wrapText="1"/>
    </xf>
    <xf numFmtId="0" fontId="0" fillId="0" borderId="2" xfId="0" applyBorder="1" applyAlignment="1">
      <alignment horizontal="left" vertical="center"/>
    </xf>
    <xf numFmtId="0" fontId="0" fillId="0" borderId="18" xfId="8" applyFont="1" applyBorder="1" applyAlignment="1">
      <alignment horizontal="center" wrapText="1"/>
    </xf>
    <xf numFmtId="0" fontId="0" fillId="0" borderId="16" xfId="8" applyFont="1" applyBorder="1" applyAlignment="1">
      <alignment horizontal="center" wrapText="1"/>
    </xf>
    <xf numFmtId="0" fontId="0" fillId="0" borderId="17" xfId="0" applyBorder="1" applyAlignment="1">
      <alignment horizontal="center"/>
    </xf>
    <xf numFmtId="178" fontId="0" fillId="0" borderId="17" xfId="0" applyNumberFormat="1" applyBorder="1"/>
    <xf numFmtId="178" fontId="0" fillId="0" borderId="16" xfId="0" applyNumberFormat="1" applyBorder="1"/>
    <xf numFmtId="0" fontId="0" fillId="8" borderId="0" xfId="0" applyFill="1" applyAlignment="1">
      <alignment horizontal="left" wrapText="1"/>
    </xf>
    <xf numFmtId="0" fontId="17" fillId="0" borderId="0" xfId="9" applyFill="1" applyAlignment="1">
      <alignment horizontal="center" vertical="center" wrapText="1"/>
    </xf>
    <xf numFmtId="164" fontId="0" fillId="8" borderId="0" xfId="8" applyNumberFormat="1" applyFont="1" applyFill="1" applyAlignment="1">
      <alignment horizontal="left" wrapText="1"/>
    </xf>
    <xf numFmtId="0" fontId="15" fillId="3" borderId="0" xfId="8" applyFont="1" applyFill="1" applyAlignment="1">
      <alignment horizontal="center"/>
    </xf>
    <xf numFmtId="0" fontId="0" fillId="0" borderId="0" xfId="0" applyAlignment="1">
      <alignment horizontal="right"/>
    </xf>
    <xf numFmtId="49" fontId="0" fillId="0" borderId="3" xfId="0" applyNumberFormat="1" applyBorder="1" applyAlignment="1">
      <alignment horizontal="left"/>
    </xf>
    <xf numFmtId="0" fontId="1" fillId="0" borderId="0" xfId="8" applyFont="1" applyAlignment="1">
      <alignment horizontal="center"/>
    </xf>
    <xf numFmtId="0" fontId="3" fillId="0" borderId="2" xfId="6" applyBorder="1">
      <protection locked="0"/>
    </xf>
  </cellXfs>
  <cellStyles count="17">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Currency 2" xfId="12" xr:uid="{46D58BD9-775E-497A-843E-CC1CD8A77D89}"/>
    <cellStyle name="Currency 3" xfId="15" xr:uid="{EBE862BE-C7AC-4B22-AFBF-805C92BB1573}"/>
    <cellStyle name="Currency 4" xfId="16" xr:uid="{BA3A9432-108E-4865-8662-68CC37E5A052}"/>
    <cellStyle name="Hyperlink" xfId="6" xr:uid="{00000000-0005-0000-0000-000006000000}"/>
    <cellStyle name="Hyperlink 2" xfId="13" xr:uid="{E69291F4-7AD5-4C0D-B67B-B8AA87FF8789}"/>
    <cellStyle name="Normal" xfId="0" builtinId="0"/>
    <cellStyle name="Normal 2" xfId="7" xr:uid="{00000000-0005-0000-0000-000007000000}"/>
    <cellStyle name="Normal 3" xfId="8" xr:uid="{00000000-0005-0000-0000-000008000000}"/>
    <cellStyle name="Normal 4" xfId="10" xr:uid="{DD4BFFDB-137C-4A15-AB2D-70283A0BF26B}"/>
    <cellStyle name="Normal 5" xfId="11" xr:uid="{AF091048-E976-43F4-B3B0-8DD47F099410}"/>
    <cellStyle name="Normal_Worksheet C" xfId="9" xr:uid="{00000000-0005-0000-0000-000009000000}"/>
    <cellStyle name="Percent" xfId="1" xr:uid="{00000000-0005-0000-0000-000001000000}"/>
    <cellStyle name="Percent 2" xfId="14" xr:uid="{62A652E5-1472-4835-B180-3CDD96E19152}"/>
  </cellStyles>
  <dxfs count="1">
    <dxf>
      <font>
        <b/>
        <i val="0"/>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hyperlink" Target="#CoverGen"/></Relationships>
</file>

<file path=xl/drawings/_rels/drawing2.xml.rels><?xml version="1.0" encoding="UTF-8" standalone="yes"?>
<Relationships xmlns="http://schemas.openxmlformats.org/package/2006/relationships"><Relationship Id="rId1" Type="http://schemas.openxmlformats.org/officeDocument/2006/relationships/hyperlink" Target="#CharterContactInfo"/></Relationships>
</file>

<file path=xl/drawings/_rels/drawing3.xml.rels><?xml version="1.0" encoding="UTF-8" standalone="yes"?>
<Relationships xmlns="http://schemas.openxmlformats.org/package/2006/relationships"><Relationship Id="rId1" Type="http://schemas.openxmlformats.org/officeDocument/2006/relationships/hyperlink" Target="#Pg1General"/></Relationships>
</file>

<file path=xl/drawings/_rels/drawing4.xml.rels><?xml version="1.0" encoding="UTF-8" standalone="yes"?>
<Relationships xmlns="http://schemas.openxmlformats.org/package/2006/relationships"><Relationship Id="rId1" Type="http://schemas.openxmlformats.org/officeDocument/2006/relationships/hyperlink" Target="#TotalFederalAndStateProjects"/></Relationships>
</file>

<file path=xl/drawings/_rels/drawing5.xml.rels><?xml version="1.0" encoding="UTF-8" standalone="yes"?>
<Relationships xmlns="http://schemas.openxmlformats.org/package/2006/relationships"><Relationship Id="rId1" Type="http://schemas.openxmlformats.org/officeDocument/2006/relationships/hyperlink" Target="#Pg3ClassroomSiteProj"/></Relationships>
</file>

<file path=xl/drawings/_rels/drawing6.xml.rels><?xml version="1.0" encoding="UTF-8" standalone="yes"?>
<Relationships xmlns="http://schemas.openxmlformats.org/package/2006/relationships"><Relationship Id="rId1" Type="http://schemas.openxmlformats.org/officeDocument/2006/relationships/hyperlink" Target="#Pg4EnglishLanguageLearnerProj"/></Relationships>
</file>

<file path=xl/drawings/_rels/drawing7.xml.rels><?xml version="1.0" encoding="UTF-8" standalone="yes"?>
<Relationships xmlns="http://schemas.openxmlformats.org/package/2006/relationships"><Relationship Id="rId1" Type="http://schemas.openxmlformats.org/officeDocument/2006/relationships/hyperlink" Target="#BudgetSummary"/></Relationships>
</file>

<file path=xl/drawings/drawing1.xml><?xml version="1.0" encoding="utf-8"?>
<xdr:wsDr xmlns:xdr="http://schemas.openxmlformats.org/drawingml/2006/spreadsheetDrawing" xmlns:a="http://schemas.openxmlformats.org/drawingml/2006/main">
  <xdr:twoCellAnchor>
    <xdr:from>
      <xdr:col>8</xdr:col>
      <xdr:colOff>485775</xdr:colOff>
      <xdr:row>7</xdr:row>
      <xdr:rowOff>0</xdr:rowOff>
    </xdr:from>
    <xdr:to>
      <xdr:col>9</xdr:col>
      <xdr:colOff>1000125</xdr:colOff>
      <xdr:row>8</xdr:row>
      <xdr:rowOff>142875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bwMode="auto">
        <a:xfrm>
          <a:off x="3981450" y="1200150"/>
          <a:ext cx="1257300" cy="3714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xdr:row>
      <xdr:rowOff>0</xdr:rowOff>
    </xdr:from>
    <xdr:to>
      <xdr:col>1</xdr:col>
      <xdr:colOff>0</xdr:colOff>
      <xdr:row>5</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bwMode="auto">
        <a:xfrm>
          <a:off x="0" y="485775"/>
          <a:ext cx="1266825" cy="32385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3</xdr:col>
      <xdr:colOff>1924050</xdr:colOff>
      <xdr:row>3</xdr:row>
      <xdr:rowOff>9525</xdr:rowOff>
    </xdr:from>
    <xdr:to>
      <xdr:col>4</xdr:col>
      <xdr:colOff>257175</xdr:colOff>
      <xdr:row>5</xdr:row>
      <xdr:rowOff>9525</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00000000-0008-0000-0200-000005000000}"/>
            </a:ext>
          </a:extLst>
        </xdr:cNvPr>
        <xdr:cNvSpPr/>
      </xdr:nvSpPr>
      <xdr:spPr bwMode="auto">
        <a:xfrm>
          <a:off x="3105150" y="361950"/>
          <a:ext cx="1095375" cy="30480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3</xdr:row>
      <xdr:rowOff>85725</xdr:rowOff>
    </xdr:from>
    <xdr:to>
      <xdr:col>2</xdr:col>
      <xdr:colOff>1800225</xdr:colOff>
      <xdr:row>3</xdr:row>
      <xdr:rowOff>314325</xdr:rowOff>
    </xdr:to>
    <xdr:sp macro="" textlink="">
      <xdr:nvSpPr>
        <xdr:cNvPr id="8" name="Rectangle 7">
          <a:hlinkClick xmlns:r="http://schemas.openxmlformats.org/officeDocument/2006/relationships" r:id="rId1"/>
          <a:extLst>
            <a:ext uri="{FF2B5EF4-FFF2-40B4-BE49-F238E27FC236}">
              <a16:creationId xmlns:a16="http://schemas.microsoft.com/office/drawing/2014/main" id="{00000000-0008-0000-0300-000008000000}"/>
            </a:ext>
          </a:extLst>
        </xdr:cNvPr>
        <xdr:cNvSpPr/>
      </xdr:nvSpPr>
      <xdr:spPr bwMode="auto">
        <a:xfrm>
          <a:off x="238125" y="504825"/>
          <a:ext cx="2771775" cy="22860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3</xdr:col>
      <xdr:colOff>2124075</xdr:colOff>
      <xdr:row>4</xdr:row>
      <xdr:rowOff>0</xdr:rowOff>
    </xdr:from>
    <xdr:to>
      <xdr:col>3</xdr:col>
      <xdr:colOff>3362325</xdr:colOff>
      <xdr:row>6</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400-000006000000}"/>
            </a:ext>
          </a:extLst>
        </xdr:cNvPr>
        <xdr:cNvSpPr/>
      </xdr:nvSpPr>
      <xdr:spPr bwMode="auto">
        <a:xfrm>
          <a:off x="3305175" y="647700"/>
          <a:ext cx="1238250" cy="32385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xdr:col>
      <xdr:colOff>257175</xdr:colOff>
      <xdr:row>3</xdr:row>
      <xdr:rowOff>0</xdr:rowOff>
    </xdr:from>
    <xdr:to>
      <xdr:col>4</xdr:col>
      <xdr:colOff>219075</xdr:colOff>
      <xdr:row>6</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500-000006000000}"/>
            </a:ext>
          </a:extLst>
        </xdr:cNvPr>
        <xdr:cNvSpPr/>
      </xdr:nvSpPr>
      <xdr:spPr bwMode="auto">
        <a:xfrm>
          <a:off x="1438275" y="485775"/>
          <a:ext cx="1762125" cy="4857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85725</xdr:rowOff>
    </xdr:from>
    <xdr:to>
      <xdr:col>2</xdr:col>
      <xdr:colOff>2400300</xdr:colOff>
      <xdr:row>1</xdr:row>
      <xdr:rowOff>9525</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0600-000003000000}"/>
            </a:ext>
          </a:extLst>
        </xdr:cNvPr>
        <xdr:cNvSpPr/>
      </xdr:nvSpPr>
      <xdr:spPr bwMode="auto">
        <a:xfrm>
          <a:off x="0" y="85725"/>
          <a:ext cx="2609850" cy="2190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netorgft1752131.sharepoint.com/sites/ADI/Shared%20Documents/adrshare/ADI%20Business%20Solutions%20Client%20Files/EV%20HIGH-Legacy%20Ed%20Group/Budgets/FY24%20Budget/Revised/budget23.xls" TargetMode="External"/><Relationship Id="rId1" Type="http://schemas.openxmlformats.org/officeDocument/2006/relationships/externalLinkPath" Target="budget2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Charter Contacts"/>
      <sheetName val="Page 1"/>
      <sheetName val="Page 2"/>
      <sheetName val="Page 3"/>
      <sheetName val="Page 4"/>
      <sheetName val="Budget Summary"/>
      <sheetName val="Data Entry"/>
      <sheetName val="Calculations"/>
      <sheetName val="BSA55"/>
      <sheetName val="Instructions"/>
      <sheetName val="budget23"/>
    </sheetNames>
    <definedNames>
      <definedName name="CA0181IntangibleAssets" refersTo="='Page 2'!$E$41"/>
      <definedName name="CA0191Land" refersTo="='Page 2'!$E$42"/>
      <definedName name="CA0192SiteImprovements" refersTo="='Page 2'!$E$43"/>
      <definedName name="CA0194Buildings" refersTo="='Page 2'!$E$44"/>
      <definedName name="CA0196Equipment" refersTo="='Page 2'!$E$45"/>
      <definedName name="CA0198CIP" refersTo="='Page 2'!$E$46"/>
      <definedName name="CAK3Reading" refersTo="='Page 2'!$E$49"/>
      <definedName name="CIP1072P265F1000" refersTo="='Page 4'!$N$30"/>
      <definedName name="CIP1072P265F1000PPL" refersTo="='Page 4'!$G$30"/>
      <definedName name="CIP1072P265F2100" refersTo="='Page 4'!$N$32"/>
      <definedName name="CIP1072P265F2100PPL" refersTo="='Page 4'!$G$32"/>
      <definedName name="CIP1072P265F2200" refersTo="='Page 4'!$N$33"/>
      <definedName name="CIP1072P265F2200PPL" refersTo="='Page 4'!$G$33"/>
      <definedName name="CIP1072P265F2300" refersTo="='Page 4'!$N$34"/>
      <definedName name="CIP1072P265F2300PPL" refersTo="='Page 4'!$G$34"/>
      <definedName name="CIP1072P265F2400" refersTo="='Page 4'!$N$35"/>
      <definedName name="CIP1072P265F2400PPL" refersTo="='Page 4'!$G$35"/>
      <definedName name="CIP1072P265F2500" refersTo="='Page 4'!$N$36"/>
      <definedName name="CIP1072P265F2500PPL" refersTo="='Page 4'!$G$36"/>
      <definedName name="CIP1072P265F2600" refersTo="='Page 4'!$N$37"/>
      <definedName name="CIP1072P265F2600PPL" refersTo="='Page 4'!$G$37"/>
      <definedName name="CIP1072P265F2900" refersTo="='Page 4'!$N$38"/>
      <definedName name="CIP1072P265F2900PPL" refersTo="='Page 4'!$G$38"/>
      <definedName name="CIP1072P435F2700" refersTo="='Page 4'!$N$42"/>
      <definedName name="CIP1072P435F2700PPL" refersTo="='Page 4'!$G$42"/>
      <definedName name="_xlbgnm.CSP1000" refersTo="='Page 3'!$K$8"/>
      <definedName name="_xlbgnm.CSP2100" refersTo="='Page 3'!$K$9"/>
      <definedName name="_xlbgnm.CSP2200" refersTo="='Page 3'!$K$10"/>
      <definedName name="_xlbgnm.CSP2300" refersTo="='Page 3'!$K$11"/>
      <definedName name="_xlbgnm.CSP3300" refersTo="='Page 3'!$K$12"/>
      <definedName name="CSPTotal" refersTo="='Page 3'!$K$13"/>
      <definedName name="FP11001130TitleI" refersTo="='Page 2'!$E$5"/>
      <definedName name="FP11401150TitleII" refersTo="='Page 2'!$E$6"/>
      <definedName name="FP1160TitleIV" refersTo="='Page 2'!$E$7"/>
      <definedName name="FP11701180TitleV" refersTo="='Page 2'!$E$8"/>
      <definedName name="FP1190TitleIII" refersTo="='Page 2'!$E$9"/>
      <definedName name="FP1200TitleVII" refersTo="='Page 2'!$E$10"/>
      <definedName name="FP1210TitleVI" refersTo="='Page 2'!$E$11"/>
      <definedName name="FP1220IDEA" refersTo="='Page 2'!$E$12"/>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3101399Other" refersTo="='Page 2'!$E$21"/>
      <definedName name="FP1420ExtendedSchool" refersTo="='Page 2'!$E$26"/>
      <definedName name="FTEcertified" refersTo="='Page 2'!$N$43"/>
      <definedName name="FTEcontract" refersTo="='Page 2'!$N$45"/>
      <definedName name="FTEnoncertified" refersTo="='Page 2'!$N$44"/>
      <definedName name="IEPtransportation" refersTo="='Page 2'!$N$14"/>
      <definedName name="IIPClassSizeReduction" refersTo="='Page 2'!$N$22"/>
      <definedName name="IIPDropoutPreventionPrograms" refersTo="='Page 2'!$N$23"/>
      <definedName name="IIPInstructionalImprovementPrograms" refersTo="='Page 2'!$N$24"/>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1000PPL" refersTo="='Page 4'!$G$9"/>
      <definedName name="SEIP1071P260F2100" refersTo="='Page 4'!$N$11"/>
      <definedName name="SEIP1071P260F2100PPL" refersTo="='Page 4'!$G$11"/>
      <definedName name="SEIP1071P260F2200" refersTo="='Page 4'!$N$12"/>
      <definedName name="SEIP1071P260F2200PPL" refersTo="='Page 4'!$G$12"/>
      <definedName name="SEIP1071P260F2300" refersTo="='Page 4'!$N$13"/>
      <definedName name="SEIP1071P260F2300PPL" refersTo="='Page 4'!$G$13"/>
      <definedName name="SEIP1071P260F2400" refersTo="='Page 4'!$N$14"/>
      <definedName name="SEIP1071P260F2400PPL" refersTo="='Page 4'!$G$14"/>
      <definedName name="SEIP1071P260F2500" refersTo="='Page 4'!$N$15"/>
      <definedName name="SEIP1071P260F2500PPL" refersTo="='Page 4'!$G$15"/>
      <definedName name="SEIP1071P260F2600" refersTo="='Page 4'!$N$16"/>
      <definedName name="SEIP1071P260F2600PPL" refersTo="='Page 4'!$G$16"/>
      <definedName name="SEIP1071P260F2900" refersTo="='Page 4'!$N$17"/>
      <definedName name="SEIP1071P260F2900PPL" refersTo="='Page 4'!$G$17"/>
      <definedName name="SEIP1071P430F2700" refersTo="='Page 4'!$N$21"/>
      <definedName name="SEIP1071P430F2700PPL" refersTo="='Page 4'!$G$21"/>
      <definedName name="SP1000ClassSiteProj" refersTo="='Page 1'!$L$44"/>
      <definedName name="SP1000CompInstrProj" refersTo="='Page 1'!$L$47"/>
      <definedName name="SP1000FedStProj" refersTo="='Page 1'!$L$48"/>
      <definedName name="SP1000InstrImpProj" refersTo="='Page 1'!$L$45"/>
      <definedName name="SP1000P100F1000" refersTo="='Page 1'!$L$8"/>
      <definedName name="SP1000P100F2100" refersTo="='Page 1'!$L$10"/>
      <definedName name="SP1000P100F2200" refersTo="='Page 1'!$L$11"/>
      <definedName name="SP1000P100F2300" refersTo="='Page 1'!$L$12"/>
      <definedName name="SP1000P100F2400" refersTo="='Page 1'!$L$13"/>
      <definedName name="SP1000P100F2500" refersTo="='Page 1'!$L$14"/>
      <definedName name="SP1000P100F2600" refersTo="='Page 1'!$L$15"/>
      <definedName name="SP1000P100F2900" refersTo="='Page 1'!$L$16"/>
      <definedName name="SP1000P100F3000" refersTo="='Page 1'!$L$17"/>
      <definedName name="SP1000P100F4000" refersTo="='Page 1'!$L$18"/>
      <definedName name="SP1000P100F5000" refersTo="='Page 1'!$L$19"/>
      <definedName name="SP1000P200F1000" refersTo="='Page 1'!$L$25"/>
      <definedName name="SP1000P200F2100" refersTo="='Page 1'!$L$27"/>
      <definedName name="SP1000P200F2200" refersTo="='Page 1'!$L$28"/>
      <definedName name="SP1000P200F2300" refersTo="='Page 1'!$L$29"/>
      <definedName name="SP1000P200F2400" refersTo="='Page 1'!$L$30"/>
      <definedName name="SP1000P200F2500" refersTo="='Page 1'!$L$31"/>
      <definedName name="SP1000P200F2600" refersTo="='Page 1'!$L$32"/>
      <definedName name="SP1000P200F2900" refersTo="='Page 1'!$L$33"/>
      <definedName name="SP1000P200F3000" refersTo="='Page 1'!$L$34"/>
      <definedName name="SP1000P200F4000" refersTo="='Page 1'!$L$35"/>
      <definedName name="SP1000P200F5000" refersTo="='Page 1'!$L$36"/>
      <definedName name="SP1000P400" refersTo="='Page 1'!$L$39"/>
      <definedName name="SP1000P530" refersTo="='Page 1'!$L$40"/>
      <definedName name="SP1000P540" refersTo="='Page 1'!$L$41"/>
      <definedName name="SP1000P550" refersTo="='Page 1'!$L$42"/>
      <definedName name="SP1000P610" refersTo="='Page 1'!$L$20"/>
      <definedName name="SP1000P620" refersTo="='Page 1'!$L$21"/>
      <definedName name="SP1000P630700800900" refersTo="='Page 1'!$L$22"/>
      <definedName name="SP1000StruEngImmProj" refersTo="='Page 1'!$L$46"/>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3"/>
      <definedName name="SP1465CharterSchool" refersTo="='Page 2'!$E$34"/>
      <definedName name="SP14701499Other" refersTo="='Page 2'!$E$36"/>
      <definedName name="TotalSEIP" refersTo="='Page 4'!$N$22"/>
    </definedNames>
    <sheetDataSet>
      <sheetData sheetId="0">
        <row r="13">
          <cell r="R13">
            <v>2297022</v>
          </cell>
        </row>
      </sheetData>
      <sheetData sheetId="1"/>
      <sheetData sheetId="2">
        <row r="8">
          <cell r="L8">
            <v>656056</v>
          </cell>
        </row>
        <row r="10">
          <cell r="L10">
            <v>111517</v>
          </cell>
        </row>
        <row r="11">
          <cell r="L11">
            <v>56722</v>
          </cell>
        </row>
        <row r="12">
          <cell r="L12">
            <v>550</v>
          </cell>
        </row>
        <row r="13">
          <cell r="L13">
            <v>147616</v>
          </cell>
        </row>
        <row r="14">
          <cell r="L14">
            <v>130563</v>
          </cell>
        </row>
        <row r="15">
          <cell r="L15">
            <v>523266</v>
          </cell>
        </row>
        <row r="16">
          <cell r="L16">
            <v>0</v>
          </cell>
        </row>
        <row r="17">
          <cell r="L17">
            <v>34076</v>
          </cell>
        </row>
        <row r="18">
          <cell r="L18">
            <v>0</v>
          </cell>
        </row>
        <row r="19">
          <cell r="L19">
            <v>3200</v>
          </cell>
        </row>
        <row r="20">
          <cell r="L20">
            <v>0</v>
          </cell>
        </row>
        <row r="21">
          <cell r="L21">
            <v>0</v>
          </cell>
        </row>
        <row r="22">
          <cell r="L22">
            <v>8000</v>
          </cell>
        </row>
        <row r="25">
          <cell r="L25">
            <v>69306</v>
          </cell>
        </row>
        <row r="27">
          <cell r="L27">
            <v>0</v>
          </cell>
        </row>
        <row r="28">
          <cell r="L28">
            <v>11471</v>
          </cell>
        </row>
        <row r="29">
          <cell r="L29">
            <v>0</v>
          </cell>
        </row>
        <row r="30">
          <cell r="L30">
            <v>0</v>
          </cell>
        </row>
        <row r="31">
          <cell r="L31">
            <v>0</v>
          </cell>
        </row>
        <row r="32">
          <cell r="L32">
            <v>0</v>
          </cell>
        </row>
        <row r="33">
          <cell r="L33">
            <v>0</v>
          </cell>
        </row>
        <row r="34">
          <cell r="L34">
            <v>0</v>
          </cell>
        </row>
        <row r="35">
          <cell r="L35">
            <v>0</v>
          </cell>
        </row>
        <row r="36">
          <cell r="L36">
            <v>0</v>
          </cell>
        </row>
        <row r="39">
          <cell r="L39">
            <v>350</v>
          </cell>
        </row>
        <row r="40">
          <cell r="L40">
            <v>0</v>
          </cell>
        </row>
        <row r="41">
          <cell r="L41">
            <v>0</v>
          </cell>
        </row>
        <row r="42">
          <cell r="L42">
            <v>0</v>
          </cell>
        </row>
        <row r="44">
          <cell r="L44">
            <v>131014</v>
          </cell>
        </row>
        <row r="45">
          <cell r="L45">
            <v>10434</v>
          </cell>
        </row>
        <row r="46">
          <cell r="L46">
            <v>0</v>
          </cell>
        </row>
        <row r="47">
          <cell r="L47">
            <v>0</v>
          </cell>
        </row>
        <row r="48">
          <cell r="L48">
            <v>349956</v>
          </cell>
        </row>
      </sheetData>
      <sheetData sheetId="3">
        <row r="5">
          <cell r="E5">
            <v>46961</v>
          </cell>
          <cell r="N5">
            <v>80777</v>
          </cell>
        </row>
        <row r="6">
          <cell r="E6">
            <v>5349</v>
          </cell>
          <cell r="N6">
            <v>0</v>
          </cell>
        </row>
        <row r="7">
          <cell r="E7">
            <v>8291</v>
          </cell>
          <cell r="N7">
            <v>0</v>
          </cell>
        </row>
        <row r="8">
          <cell r="N8">
            <v>0</v>
          </cell>
        </row>
        <row r="9">
          <cell r="N9">
            <v>0</v>
          </cell>
        </row>
        <row r="10">
          <cell r="N10">
            <v>0</v>
          </cell>
        </row>
        <row r="11">
          <cell r="N11">
            <v>0</v>
          </cell>
        </row>
        <row r="12">
          <cell r="E12">
            <v>25770</v>
          </cell>
        </row>
        <row r="21">
          <cell r="E21">
            <v>263585</v>
          </cell>
        </row>
        <row r="22">
          <cell r="N22">
            <v>5434</v>
          </cell>
        </row>
        <row r="24">
          <cell r="N24">
            <v>5000</v>
          </cell>
        </row>
        <row r="43">
          <cell r="E43">
            <v>16574</v>
          </cell>
          <cell r="N43">
            <v>8.3800000000000008</v>
          </cell>
        </row>
        <row r="44">
          <cell r="N44">
            <v>3.01</v>
          </cell>
        </row>
        <row r="45">
          <cell r="E45">
            <v>14317</v>
          </cell>
          <cell r="N45">
            <v>0</v>
          </cell>
        </row>
      </sheetData>
      <sheetData sheetId="4">
        <row r="8">
          <cell r="K8">
            <v>131014</v>
          </cell>
        </row>
        <row r="9">
          <cell r="K9">
            <v>0</v>
          </cell>
        </row>
        <row r="10">
          <cell r="K10">
            <v>0</v>
          </cell>
        </row>
        <row r="11">
          <cell r="K11">
            <v>0</v>
          </cell>
        </row>
        <row r="12">
          <cell r="K12">
            <v>0</v>
          </cell>
        </row>
        <row r="13">
          <cell r="K13">
            <v>131014</v>
          </cell>
        </row>
      </sheetData>
      <sheetData sheetId="5">
        <row r="9">
          <cell r="N9">
            <v>0</v>
          </cell>
        </row>
        <row r="11">
          <cell r="N11">
            <v>0</v>
          </cell>
        </row>
        <row r="12">
          <cell r="N12">
            <v>0</v>
          </cell>
        </row>
        <row r="13">
          <cell r="N13">
            <v>0</v>
          </cell>
        </row>
        <row r="14">
          <cell r="N14">
            <v>0</v>
          </cell>
        </row>
        <row r="15">
          <cell r="N15">
            <v>0</v>
          </cell>
        </row>
        <row r="16">
          <cell r="N16">
            <v>0</v>
          </cell>
        </row>
        <row r="17">
          <cell r="N17">
            <v>0</v>
          </cell>
        </row>
        <row r="21">
          <cell r="N21">
            <v>0</v>
          </cell>
        </row>
        <row r="22">
          <cell r="N22">
            <v>0</v>
          </cell>
        </row>
        <row r="30">
          <cell r="N30">
            <v>0</v>
          </cell>
        </row>
        <row r="32">
          <cell r="N32">
            <v>0</v>
          </cell>
        </row>
        <row r="33">
          <cell r="N33">
            <v>0</v>
          </cell>
        </row>
        <row r="34">
          <cell r="N34">
            <v>0</v>
          </cell>
        </row>
        <row r="35">
          <cell r="N35">
            <v>0</v>
          </cell>
        </row>
        <row r="36">
          <cell r="N36">
            <v>0</v>
          </cell>
        </row>
        <row r="37">
          <cell r="N37">
            <v>0</v>
          </cell>
        </row>
        <row r="38">
          <cell r="N38">
            <v>0</v>
          </cell>
        </row>
        <row r="42">
          <cell r="N42">
            <v>0</v>
          </cell>
        </row>
      </sheetData>
      <sheetData sheetId="6"/>
      <sheetData sheetId="7"/>
      <sheetData sheetId="8"/>
      <sheetData sheetId="9"/>
      <sheetData sheetId="10"/>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azed.gov/mowr/"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Sheila@theduttons.com"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azauditor.sharepoint.com/sites/ASDonline/School%20District%20Budget/FY%202024%20Budget%20Forms/Prohibited%20formula%20characters/Files%20from%20ADE%203-27-23/EmpBenefits" TargetMode="External"/><Relationship Id="rId1" Type="http://schemas.openxmlformats.org/officeDocument/2006/relationships/hyperlink" Target="https://azauditor.sharepoint.com/sites/ASDonline/School%20District%20Budget/FY%202024%20Budget%20Forms/Prohibited%20formula%20characters/Files%20from%20ADE%203-27-23/EmpBenefits"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azauditor.sharepoint.com/sites/ASDonline/School%20District%20Budget/FY%202024%20Budget%20Forms/Prohibited%20formula%20characters/Files%20from%20ADE%203-27-23/Pg3InstructionalImprovementProj"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azauditor.sharepoint.com/sites/ASDonline/School%20District%20Budget/FY%202024%20Budget%20Forms/Prohibited%20formula%20characters/Files%20from%20ADE%203-27-23/Pg4StructuredEnglishImmersionProj" TargetMode="External"/><Relationship Id="rId1" Type="http://schemas.openxmlformats.org/officeDocument/2006/relationships/hyperlink" Target="https://azauditor.sharepoint.com/sites/ASDonline/School%20District%20Budget/FY%202024%20Budget%20Forms/Prohibited%20formula%20characters/Files%20from%20ADE%203-27-23/StructuredEnglishImmersionProj" TargetMode="Externa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https://azauditor.sharepoint.com/sites/ASDonline/School%20District%20Budget/FY%202024%20Budget%20Forms/Prohibited%20formula%20characters/Files%20from%20ADE%203-27-23/IndividualCharterSchoolCounts" TargetMode="External"/><Relationship Id="rId2" Type="http://schemas.openxmlformats.org/officeDocument/2006/relationships/hyperlink" Target="https://azauditor.sharepoint.com/sites/ASDonline/School%20District%20Budget/FY%202024%20Budget%20Forms/Prohibited%20formula%20characters/Files%20from%20ADE%203-27-23/IndividualCharterSchoolCounts" TargetMode="External"/><Relationship Id="rId1" Type="http://schemas.openxmlformats.org/officeDocument/2006/relationships/hyperlink" Target="https://azauditor.sharepoint.com/sites/ASDonline/School%20District%20Budget/FY%202024%20Budget%20Forms/Prohibited%20formula%20characters/Files%20from%20ADE%203-27-23/IndividualCharterSchoolCounts" TargetMode="External"/><Relationship Id="rId5" Type="http://schemas.openxmlformats.org/officeDocument/2006/relationships/printerSettings" Target="../printerSettings/printerSettings9.bin"/><Relationship Id="rId4" Type="http://schemas.openxmlformats.org/officeDocument/2006/relationships/hyperlink" Target="https://azauditor.sharepoint.com/sites/ASDonline/School%20District%20Budget/FY%202024%20Budget%20Forms/Prohibited%20formula%20characters/Files%20from%20ADE%203-27-23/IndividualCharterSchoolCou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42"/>
  <sheetViews>
    <sheetView showGridLines="0" zoomScale="110" zoomScaleNormal="110" workbookViewId="0">
      <selection activeCell="R13" sqref="R13"/>
    </sheetView>
  </sheetViews>
  <sheetFormatPr defaultColWidth="9.140625" defaultRowHeight="12.75" customHeight="1"/>
  <cols>
    <col min="1" max="1" width="8.140625" customWidth="1"/>
    <col min="2" max="2" width="5.42578125" customWidth="1"/>
    <col min="3" max="3" width="4.5703125" customWidth="1"/>
    <col min="4" max="4" width="8.140625" customWidth="1"/>
    <col min="5" max="5" width="5.42578125" customWidth="1"/>
    <col min="6" max="6" width="11.140625" customWidth="1"/>
    <col min="7" max="7" width="6.5703125" customWidth="1"/>
    <col min="8" max="8" width="3" customWidth="1"/>
    <col min="9" max="9" width="11.140625" customWidth="1"/>
    <col min="10" max="10" width="15" customWidth="1"/>
    <col min="12" max="12" width="9.5703125" customWidth="1"/>
    <col min="13" max="13" width="9.140625" customWidth="1"/>
    <col min="14" max="14" width="11.42578125" customWidth="1"/>
    <col min="15" max="15" width="16" customWidth="1"/>
    <col min="16" max="16" width="10" bestFit="1" customWidth="1"/>
    <col min="17" max="17" width="3.5703125" customWidth="1"/>
    <col min="18" max="18" width="13.5703125" customWidth="1"/>
    <col min="19" max="19" width="3.5703125" customWidth="1"/>
    <col min="21" max="21" width="9.5703125" bestFit="1" customWidth="1"/>
  </cols>
  <sheetData>
    <row r="1" spans="1:18" ht="12.75" customHeight="1">
      <c r="A1" s="446" t="s">
        <v>181</v>
      </c>
      <c r="B1" s="447"/>
      <c r="C1" s="447"/>
      <c r="D1" s="441" t="s">
        <v>520</v>
      </c>
      <c r="E1" s="441"/>
      <c r="F1" s="441"/>
      <c r="G1" s="441"/>
      <c r="H1" s="441"/>
      <c r="I1" s="441"/>
      <c r="L1" s="110" t="s">
        <v>128</v>
      </c>
      <c r="M1" s="443" t="s">
        <v>521</v>
      </c>
      <c r="N1" s="443"/>
      <c r="O1" s="142" t="s">
        <v>220</v>
      </c>
      <c r="P1" s="1" t="s">
        <v>522</v>
      </c>
      <c r="Q1" s="143"/>
    </row>
    <row r="2" spans="1:18" ht="12.75" customHeight="1">
      <c r="D2" s="437" t="s">
        <v>214</v>
      </c>
      <c r="E2" s="437"/>
      <c r="F2" s="437"/>
      <c r="G2" s="437"/>
      <c r="H2" s="437"/>
      <c r="I2" s="437"/>
      <c r="M2" s="144"/>
      <c r="Q2" s="144"/>
      <c r="R2" s="113"/>
    </row>
    <row r="3" spans="1:18" ht="12.75" customHeight="1">
      <c r="D3" s="440"/>
      <c r="E3" s="440"/>
      <c r="F3" s="440"/>
      <c r="G3" s="440"/>
      <c r="H3" s="440"/>
      <c r="I3" s="440"/>
      <c r="M3" s="144"/>
      <c r="Q3" s="144"/>
      <c r="R3" s="113"/>
    </row>
    <row r="4" spans="1:18" ht="12.75" customHeight="1">
      <c r="D4" s="437" t="s">
        <v>44</v>
      </c>
      <c r="E4" s="437"/>
      <c r="F4" s="437"/>
      <c r="G4" s="437"/>
      <c r="H4" s="437"/>
      <c r="I4" s="437"/>
      <c r="L4" s="448" t="str">
        <f>IF(OR('Charter Contacts'!G7="",'Charter Contacts'!G8="",'Charter Contacts'!G10="",'Charter Contacts'!G12="",'Charter Contacts'!G13="",'Charter Contacts'!E18="",'Charter Contacts'!E19="",'Charter Contacts'!E20=""),"Please ensure the Charter Contacts tab is complete.","")</f>
        <v>Please ensure the Charter Contacts tab is complete.</v>
      </c>
      <c r="M4" s="448"/>
      <c r="N4" s="448"/>
      <c r="O4" s="448"/>
      <c r="P4" s="448"/>
      <c r="Q4" s="448"/>
      <c r="R4" s="448"/>
    </row>
    <row r="5" spans="1:18" ht="12.75" customHeight="1">
      <c r="L5" s="448" t="str">
        <f>IF('Charter Contacts'!C29="","Please enter a SIS Vendor on the Charter Contacts tab.","")</f>
        <v/>
      </c>
      <c r="M5" s="448"/>
      <c r="N5" s="448"/>
      <c r="O5" s="448"/>
      <c r="P5" s="448"/>
      <c r="Q5" s="448"/>
      <c r="R5" s="448"/>
    </row>
    <row r="6" spans="1:18" ht="18" customHeight="1">
      <c r="A6" s="144"/>
      <c r="B6" s="464" t="s">
        <v>468</v>
      </c>
      <c r="C6" s="464"/>
      <c r="D6" s="464"/>
      <c r="E6" s="464"/>
      <c r="F6" s="464"/>
      <c r="G6" s="464"/>
      <c r="H6" s="464"/>
      <c r="I6" s="464"/>
      <c r="J6" s="97"/>
      <c r="K6" s="146" t="s">
        <v>17</v>
      </c>
      <c r="L6" s="465" t="s">
        <v>481</v>
      </c>
      <c r="M6" s="465"/>
      <c r="N6" s="465"/>
      <c r="O6" s="465"/>
      <c r="P6" s="465"/>
      <c r="Q6" s="33" t="s">
        <v>0</v>
      </c>
      <c r="R6" s="147">
        <f>[1]Cover!$R$13</f>
        <v>2297022</v>
      </c>
    </row>
    <row r="7" spans="1:18">
      <c r="A7" s="144"/>
      <c r="B7" s="144"/>
      <c r="C7" s="144"/>
      <c r="D7" s="144"/>
      <c r="E7" s="144"/>
      <c r="F7" s="144"/>
      <c r="G7" s="144"/>
      <c r="J7" s="97"/>
      <c r="K7" s="146"/>
      <c r="L7" s="465"/>
      <c r="M7" s="465"/>
      <c r="N7" s="465"/>
      <c r="O7" s="465"/>
      <c r="P7" s="465"/>
      <c r="Q7" s="33"/>
      <c r="R7" s="148"/>
    </row>
    <row r="8" spans="1:18" ht="18" customHeight="1">
      <c r="A8" s="144"/>
      <c r="B8" s="464" t="s">
        <v>178</v>
      </c>
      <c r="C8" s="464"/>
      <c r="D8" s="464"/>
      <c r="E8" s="464"/>
      <c r="F8" s="464"/>
      <c r="G8" s="464"/>
      <c r="H8" s="464"/>
      <c r="I8" s="464"/>
      <c r="J8" s="149"/>
      <c r="K8" s="146" t="s">
        <v>18</v>
      </c>
      <c r="L8" s="433" t="s">
        <v>473</v>
      </c>
      <c r="M8" s="433"/>
      <c r="N8" s="434"/>
      <c r="O8" s="434"/>
      <c r="P8" s="434"/>
      <c r="Q8" s="434"/>
      <c r="R8" s="148"/>
    </row>
    <row r="9" spans="1:18">
      <c r="A9" s="144"/>
      <c r="B9" s="144"/>
      <c r="C9" s="144"/>
      <c r="D9" s="144"/>
      <c r="E9" s="144"/>
      <c r="F9" s="144"/>
      <c r="G9" s="144"/>
      <c r="J9" s="97"/>
      <c r="L9" s="144"/>
      <c r="M9" s="144"/>
      <c r="N9" s="144"/>
      <c r="O9" t="s">
        <v>1</v>
      </c>
      <c r="P9" s="150" t="s">
        <v>2</v>
      </c>
      <c r="Q9" s="33" t="s">
        <v>0</v>
      </c>
      <c r="R9" s="5">
        <v>11600</v>
      </c>
    </row>
    <row r="10" spans="1:18" ht="12.75" customHeight="1">
      <c r="A10" s="144"/>
      <c r="B10" s="451" t="s">
        <v>179</v>
      </c>
      <c r="C10" s="451"/>
      <c r="D10" s="451"/>
      <c r="E10" s="451"/>
      <c r="F10" s="451"/>
      <c r="G10" s="451"/>
      <c r="H10" s="451"/>
      <c r="I10" s="451"/>
      <c r="J10" s="452"/>
      <c r="K10" s="146"/>
      <c r="L10" s="151"/>
      <c r="M10" s="151"/>
      <c r="N10" s="151"/>
      <c r="O10" t="s">
        <v>4</v>
      </c>
      <c r="P10" s="150" t="s">
        <v>5</v>
      </c>
      <c r="Q10" s="33" t="s">
        <v>0</v>
      </c>
      <c r="R10" s="5"/>
    </row>
    <row r="11" spans="1:18" ht="12.75" customHeight="1">
      <c r="A11" s="144"/>
      <c r="B11" s="451"/>
      <c r="C11" s="451"/>
      <c r="D11" s="451"/>
      <c r="E11" s="451"/>
      <c r="F11" s="451"/>
      <c r="G11" s="451"/>
      <c r="H11" s="451"/>
      <c r="I11" s="451"/>
      <c r="J11" s="452"/>
      <c r="O11" t="s">
        <v>3</v>
      </c>
      <c r="P11" s="150" t="s">
        <v>33</v>
      </c>
      <c r="Q11" s="33" t="s">
        <v>0</v>
      </c>
      <c r="R11" s="5">
        <v>1890772</v>
      </c>
    </row>
    <row r="12" spans="1:18" ht="12.75" customHeight="1">
      <c r="A12" s="144"/>
      <c r="B12" s="144"/>
      <c r="C12" s="144"/>
      <c r="D12" s="440" t="s">
        <v>517</v>
      </c>
      <c r="E12" s="440"/>
      <c r="F12" s="440"/>
      <c r="G12" s="440"/>
      <c r="H12" s="440"/>
      <c r="J12" s="97"/>
      <c r="O12" t="s">
        <v>6</v>
      </c>
      <c r="P12" s="150" t="s">
        <v>34</v>
      </c>
      <c r="Q12" s="33" t="s">
        <v>0</v>
      </c>
      <c r="R12" s="5">
        <v>265062</v>
      </c>
    </row>
    <row r="13" spans="1:18" ht="12.75" customHeight="1">
      <c r="B13" s="468" t="s">
        <v>38</v>
      </c>
      <c r="C13" s="468"/>
      <c r="D13" s="469"/>
      <c r="E13" s="469"/>
      <c r="F13" s="469"/>
      <c r="G13" s="469"/>
      <c r="H13" s="469"/>
      <c r="I13" s="468"/>
      <c r="J13" s="97"/>
      <c r="O13" t="s">
        <v>19</v>
      </c>
      <c r="Q13" s="33" t="s">
        <v>0</v>
      </c>
      <c r="R13" s="147">
        <f>SUM(R9:R12)</f>
        <v>2167434</v>
      </c>
    </row>
    <row r="14" spans="1:18" ht="12.75" customHeight="1">
      <c r="J14" s="97"/>
      <c r="P14" s="150"/>
      <c r="Q14" s="33"/>
      <c r="R14" s="148"/>
    </row>
    <row r="15" spans="1:18" ht="12.75" customHeight="1">
      <c r="J15" s="97"/>
      <c r="L15" s="449" t="s">
        <v>215</v>
      </c>
      <c r="M15" s="449"/>
      <c r="N15" s="449"/>
      <c r="O15" s="444" t="s">
        <v>519</v>
      </c>
      <c r="P15" s="444"/>
      <c r="Q15" s="444"/>
      <c r="R15" s="444"/>
    </row>
    <row r="16" spans="1:18" ht="12.75" customHeight="1">
      <c r="A16" s="113"/>
      <c r="B16" s="450" t="s">
        <v>180</v>
      </c>
      <c r="C16" s="450"/>
      <c r="D16" s="450"/>
      <c r="E16" s="450"/>
      <c r="F16" s="450"/>
      <c r="G16" s="450"/>
      <c r="H16" s="450"/>
      <c r="I16" s="450"/>
      <c r="J16" s="97"/>
      <c r="L16" t="s">
        <v>53</v>
      </c>
      <c r="M16" s="463">
        <v>4809812008</v>
      </c>
      <c r="N16" s="463"/>
      <c r="O16" s="33" t="s">
        <v>54</v>
      </c>
      <c r="P16" s="445" t="s">
        <v>518</v>
      </c>
      <c r="Q16" s="445"/>
      <c r="R16" s="445"/>
    </row>
    <row r="17" spans="1:21" ht="12.75" customHeight="1">
      <c r="J17" s="97"/>
      <c r="P17" s="150"/>
      <c r="Q17" s="33"/>
      <c r="R17" s="148"/>
    </row>
    <row r="18" spans="1:21" ht="12.75" customHeight="1">
      <c r="J18" s="97"/>
      <c r="L18" s="449" t="s">
        <v>475</v>
      </c>
      <c r="M18" s="449"/>
      <c r="N18" s="449"/>
      <c r="O18" s="449"/>
      <c r="P18" s="449"/>
      <c r="Q18" s="449"/>
      <c r="R18" s="449"/>
    </row>
    <row r="19" spans="1:21" ht="12.75" customHeight="1">
      <c r="B19" s="450" t="s">
        <v>474</v>
      </c>
      <c r="C19" s="450"/>
      <c r="D19" s="450"/>
      <c r="E19" s="450"/>
      <c r="F19" s="450"/>
      <c r="G19" s="450"/>
      <c r="H19" s="450"/>
      <c r="I19" s="450"/>
      <c r="J19" s="97"/>
      <c r="L19" s="449" t="s">
        <v>476</v>
      </c>
      <c r="M19" s="449"/>
      <c r="N19" s="449"/>
      <c r="O19" s="449"/>
      <c r="P19" s="466">
        <v>45426</v>
      </c>
      <c r="Q19" s="466"/>
      <c r="R19" s="466"/>
    </row>
    <row r="20" spans="1:21" ht="12.75" customHeight="1">
      <c r="C20" s="449" t="s">
        <v>39</v>
      </c>
      <c r="D20" s="449"/>
      <c r="F20" s="466">
        <v>45082</v>
      </c>
      <c r="G20" s="466"/>
      <c r="H20" s="466"/>
      <c r="I20" s="152" t="str">
        <f>IF(AND(ISNUMBER(SEARCH("Proposed*",D12)),F20=""),"Please enter a Proposed Date","")</f>
        <v/>
      </c>
      <c r="J20" s="97"/>
      <c r="L20" s="435" t="s">
        <v>165</v>
      </c>
      <c r="M20" s="435"/>
      <c r="N20" s="435"/>
      <c r="O20" s="435"/>
      <c r="P20" s="467" t="s">
        <v>216</v>
      </c>
      <c r="Q20" s="467"/>
      <c r="R20" s="467"/>
    </row>
    <row r="21" spans="1:21" ht="12.75" customHeight="1">
      <c r="C21" s="449" t="s">
        <v>40</v>
      </c>
      <c r="D21" s="449"/>
      <c r="F21" s="442">
        <v>45096</v>
      </c>
      <c r="G21" s="442"/>
      <c r="H21" s="442"/>
      <c r="I21" s="152" t="str">
        <f>IF(AND(ISNUMBER(SEARCH("Adopted*",D12)),F21=""),"Please enter an Adopted Date","")</f>
        <v/>
      </c>
      <c r="J21" s="97"/>
      <c r="L21" s="462"/>
      <c r="M21" s="462"/>
      <c r="N21" s="462"/>
      <c r="O21" s="462"/>
      <c r="P21" s="462"/>
      <c r="Q21" s="462"/>
      <c r="R21" s="462"/>
    </row>
    <row r="22" spans="1:21" ht="12.75" customHeight="1">
      <c r="A22" s="113"/>
      <c r="C22" s="449" t="s">
        <v>41</v>
      </c>
      <c r="D22" s="449"/>
      <c r="F22" s="442">
        <v>45425</v>
      </c>
      <c r="G22" s="442"/>
      <c r="H22" s="442"/>
      <c r="I22" s="154" t="str">
        <f>IF(AND(ISNUMBER(SEARCH("Revised*",D12)),F22=""),"Please enter a Revised Date","")</f>
        <v/>
      </c>
      <c r="J22" s="155"/>
      <c r="L22" s="440"/>
      <c r="M22" s="440"/>
      <c r="N22" s="440"/>
      <c r="O22" s="156"/>
      <c r="P22" s="440"/>
      <c r="Q22" s="440"/>
      <c r="R22" s="440"/>
    </row>
    <row r="23" spans="1:21" ht="12.75" customHeight="1">
      <c r="F23" s="437" t="s">
        <v>42</v>
      </c>
      <c r="G23" s="437"/>
      <c r="H23" s="437"/>
      <c r="J23" s="97"/>
      <c r="L23" s="437" t="s">
        <v>217</v>
      </c>
      <c r="M23" s="437"/>
      <c r="N23" s="437"/>
      <c r="O23" s="157"/>
      <c r="P23" s="437" t="s">
        <v>217</v>
      </c>
      <c r="Q23" s="437"/>
      <c r="R23" s="437"/>
      <c r="S23" s="158"/>
      <c r="T23" s="158"/>
      <c r="U23" s="158"/>
    </row>
    <row r="24" spans="1:21" ht="12.75" customHeight="1">
      <c r="B24" s="42"/>
      <c r="E24" s="159"/>
      <c r="J24" s="97"/>
    </row>
    <row r="25" spans="1:21" ht="12.75" customHeight="1">
      <c r="A25" s="438"/>
      <c r="B25" s="438"/>
      <c r="C25" s="438"/>
      <c r="D25" s="438"/>
      <c r="E25" s="438"/>
      <c r="F25" s="438"/>
      <c r="G25" s="438"/>
      <c r="H25" s="438"/>
      <c r="I25" s="438"/>
      <c r="J25" s="439"/>
      <c r="L25" s="435" t="str">
        <f>IF(OR(L26="",P26=""),"Please enter typed school official names","")</f>
        <v/>
      </c>
      <c r="M25" s="435"/>
      <c r="N25" s="435"/>
      <c r="O25" s="435"/>
      <c r="P25" s="435"/>
      <c r="Q25" s="435"/>
      <c r="R25" s="435"/>
      <c r="U25" s="160"/>
    </row>
    <row r="26" spans="1:21" ht="12.75" customHeight="1">
      <c r="A26" s="438"/>
      <c r="B26" s="438"/>
      <c r="C26" s="438"/>
      <c r="D26" s="438"/>
      <c r="E26" s="438"/>
      <c r="F26" s="438"/>
      <c r="G26" s="438"/>
      <c r="H26" s="438"/>
      <c r="I26" s="438"/>
      <c r="J26" s="439"/>
      <c r="L26" s="440" t="s">
        <v>519</v>
      </c>
      <c r="M26" s="440"/>
      <c r="N26" s="440"/>
      <c r="O26" s="157"/>
      <c r="P26" s="440" t="s">
        <v>523</v>
      </c>
      <c r="Q26" s="440"/>
      <c r="R26" s="440"/>
    </row>
    <row r="27" spans="1:21" ht="12.75" customHeight="1">
      <c r="A27" s="438"/>
      <c r="B27" s="438"/>
      <c r="C27" s="438"/>
      <c r="D27" s="438"/>
      <c r="E27" s="438"/>
      <c r="F27" s="438"/>
      <c r="G27" s="438"/>
      <c r="H27" s="438"/>
      <c r="I27" s="438"/>
      <c r="J27" s="439"/>
      <c r="L27" s="437" t="s">
        <v>218</v>
      </c>
      <c r="M27" s="437"/>
      <c r="N27" s="437"/>
      <c r="O27" s="157"/>
      <c r="P27" s="437" t="s">
        <v>218</v>
      </c>
      <c r="Q27" s="437"/>
      <c r="R27" s="437"/>
    </row>
    <row r="28" spans="1:21" ht="12.75" customHeight="1">
      <c r="B28" s="113"/>
      <c r="C28" s="42"/>
      <c r="D28" s="42"/>
      <c r="F28" s="113"/>
      <c r="G28" s="161"/>
      <c r="H28" s="144"/>
      <c r="I28" s="144"/>
      <c r="J28" s="149"/>
    </row>
    <row r="29" spans="1:21" ht="12.75" customHeight="1">
      <c r="A29" s="440"/>
      <c r="B29" s="440"/>
      <c r="C29" s="440"/>
      <c r="D29" s="440"/>
      <c r="E29" s="440"/>
      <c r="F29" s="113"/>
      <c r="G29" s="436"/>
      <c r="H29" s="436"/>
      <c r="I29" s="436"/>
      <c r="J29" s="149"/>
      <c r="L29" s="433" t="s">
        <v>219</v>
      </c>
      <c r="M29" s="433"/>
      <c r="N29" s="434"/>
      <c r="O29" s="434"/>
      <c r="P29" s="434"/>
      <c r="Q29" s="434"/>
      <c r="R29" s="434"/>
      <c r="S29" s="433"/>
    </row>
    <row r="30" spans="1:21" ht="12.75" customHeight="1" thickBot="1">
      <c r="H30" s="144"/>
      <c r="I30" s="144"/>
      <c r="J30" s="149"/>
      <c r="L30" s="435" t="str">
        <f>IF((BudgetYearSalary)=0,"Average teacher salary information is not complete.",IF(AND((PriorYearSalary)=0,(L31)=""),"Average teacher salary information is not complete.",""))</f>
        <v/>
      </c>
      <c r="M30" s="435"/>
      <c r="N30" s="435"/>
      <c r="O30" s="435"/>
      <c r="P30" s="435"/>
      <c r="Q30" s="435"/>
      <c r="R30" s="435"/>
      <c r="S30" s="153"/>
    </row>
    <row r="31" spans="1:21" ht="12.75" customHeight="1" thickBot="1">
      <c r="A31" s="440"/>
      <c r="B31" s="440"/>
      <c r="C31" s="440"/>
      <c r="D31" s="440"/>
      <c r="E31" s="440"/>
      <c r="F31" s="113"/>
      <c r="G31" s="436"/>
      <c r="H31" s="436"/>
      <c r="I31" s="436"/>
      <c r="J31" s="97"/>
      <c r="L31" s="27"/>
      <c r="M31" s="163" t="s">
        <v>480</v>
      </c>
      <c r="N31" s="101"/>
      <c r="O31" s="101"/>
      <c r="P31" s="101"/>
      <c r="Q31" s="101"/>
      <c r="R31" s="101"/>
    </row>
    <row r="32" spans="1:21" ht="12.75" customHeight="1">
      <c r="J32" s="97"/>
      <c r="L32" s="163" t="s">
        <v>477</v>
      </c>
      <c r="M32" s="164"/>
      <c r="N32" s="164"/>
      <c r="O32" s="165"/>
      <c r="P32" s="165"/>
      <c r="Q32" s="33" t="s">
        <v>0</v>
      </c>
      <c r="R32" s="21">
        <v>51448</v>
      </c>
      <c r="S32" s="166" t="str">
        <f>IF(OR(BudgetYearSalary=0,PriorYearSalary=0),1/ERROR,"")</f>
        <v/>
      </c>
    </row>
    <row r="33" spans="1:18" ht="12.75" customHeight="1">
      <c r="A33" s="440"/>
      <c r="B33" s="440"/>
      <c r="C33" s="440"/>
      <c r="D33" s="440"/>
      <c r="E33" s="440"/>
      <c r="F33" s="113"/>
      <c r="G33" s="436"/>
      <c r="H33" s="436"/>
      <c r="I33" s="436"/>
      <c r="J33" s="97"/>
      <c r="L33" s="163" t="s">
        <v>478</v>
      </c>
      <c r="O33" s="165"/>
      <c r="P33" s="165"/>
      <c r="Q33" s="33" t="s">
        <v>0</v>
      </c>
      <c r="R33" s="5">
        <v>49999</v>
      </c>
    </row>
    <row r="34" spans="1:18" ht="12.75" customHeight="1">
      <c r="J34" s="97"/>
      <c r="L34" s="163" t="s">
        <v>479</v>
      </c>
      <c r="O34" s="165"/>
      <c r="P34" s="165"/>
      <c r="Q34" s="33" t="s">
        <v>0</v>
      </c>
      <c r="R34" s="147">
        <f>R32-R33</f>
        <v>1449</v>
      </c>
    </row>
    <row r="35" spans="1:18" ht="12.75" customHeight="1">
      <c r="A35" s="440"/>
      <c r="B35" s="440"/>
      <c r="C35" s="440"/>
      <c r="D35" s="440"/>
      <c r="E35" s="440"/>
      <c r="F35" s="113"/>
      <c r="G35" s="436"/>
      <c r="H35" s="436"/>
      <c r="I35" s="436"/>
      <c r="J35" s="97"/>
      <c r="L35" s="163" t="s">
        <v>104</v>
      </c>
      <c r="Q35" s="33"/>
      <c r="R35" s="167">
        <f>IF(PriorYearSalary&gt;0,R34/R33,0)</f>
        <v>2.9000000000000001E-2</v>
      </c>
    </row>
    <row r="36" spans="1:18" ht="12.75" customHeight="1">
      <c r="D36" s="144"/>
      <c r="E36" s="144"/>
      <c r="F36" s="144"/>
      <c r="G36" s="144"/>
      <c r="J36" s="97"/>
      <c r="L36" s="453" t="s">
        <v>549</v>
      </c>
      <c r="M36" s="454"/>
      <c r="N36" s="454"/>
      <c r="O36" s="454"/>
      <c r="P36" s="454"/>
      <c r="Q36" s="454"/>
      <c r="R36" s="455"/>
    </row>
    <row r="37" spans="1:18" ht="12.75" customHeight="1">
      <c r="A37" s="440"/>
      <c r="B37" s="440"/>
      <c r="C37" s="440"/>
      <c r="D37" s="440"/>
      <c r="E37" s="440"/>
      <c r="F37" s="113"/>
      <c r="G37" s="436"/>
      <c r="H37" s="436"/>
      <c r="I37" s="436"/>
      <c r="K37" s="56"/>
      <c r="L37" s="456"/>
      <c r="M37" s="457"/>
      <c r="N37" s="457"/>
      <c r="O37" s="457"/>
      <c r="P37" s="457"/>
      <c r="Q37" s="457"/>
      <c r="R37" s="458"/>
    </row>
    <row r="38" spans="1:18" ht="12.75" customHeight="1">
      <c r="D38" s="144"/>
      <c r="E38" s="144"/>
      <c r="F38" s="144"/>
      <c r="G38" s="144"/>
      <c r="K38" s="56"/>
      <c r="L38" s="456"/>
      <c r="M38" s="457"/>
      <c r="N38" s="457"/>
      <c r="O38" s="457"/>
      <c r="P38" s="457"/>
      <c r="Q38" s="457"/>
      <c r="R38" s="458"/>
    </row>
    <row r="39" spans="1:18" ht="12.75" customHeight="1">
      <c r="A39" s="440"/>
      <c r="B39" s="440"/>
      <c r="C39" s="440"/>
      <c r="D39" s="440"/>
      <c r="E39" s="440"/>
      <c r="F39" s="113"/>
      <c r="G39" s="436"/>
      <c r="H39" s="436"/>
      <c r="I39" s="436"/>
      <c r="K39" s="56"/>
      <c r="L39" s="456"/>
      <c r="M39" s="457"/>
      <c r="N39" s="457"/>
      <c r="O39" s="457"/>
      <c r="P39" s="457"/>
      <c r="Q39" s="457"/>
      <c r="R39" s="458"/>
    </row>
    <row r="40" spans="1:18" ht="12.75" customHeight="1">
      <c r="D40" s="144"/>
      <c r="E40" s="144"/>
      <c r="F40" s="144"/>
      <c r="G40" s="144"/>
      <c r="K40" s="56"/>
      <c r="L40" s="456"/>
      <c r="M40" s="457"/>
      <c r="N40" s="457"/>
      <c r="O40" s="457"/>
      <c r="P40" s="457"/>
      <c r="Q40" s="457"/>
      <c r="R40" s="458"/>
    </row>
    <row r="41" spans="1:18" ht="12.75" customHeight="1">
      <c r="A41" s="440"/>
      <c r="B41" s="440"/>
      <c r="C41" s="440"/>
      <c r="D41" s="440"/>
      <c r="E41" s="440"/>
      <c r="F41" s="113"/>
      <c r="G41" s="436"/>
      <c r="H41" s="436"/>
      <c r="I41" s="436"/>
      <c r="K41" s="56"/>
      <c r="L41" s="456"/>
      <c r="M41" s="457"/>
      <c r="N41" s="457"/>
      <c r="O41" s="457"/>
      <c r="P41" s="457"/>
      <c r="Q41" s="457"/>
      <c r="R41" s="458"/>
    </row>
    <row r="42" spans="1:18" ht="12.75" customHeight="1">
      <c r="A42" s="437" t="s">
        <v>182</v>
      </c>
      <c r="B42" s="437"/>
      <c r="C42" s="437"/>
      <c r="D42" s="437"/>
      <c r="E42" s="437"/>
      <c r="F42" s="168"/>
      <c r="G42" s="437" t="s">
        <v>183</v>
      </c>
      <c r="H42" s="437"/>
      <c r="I42" s="437"/>
      <c r="K42" s="56"/>
      <c r="L42" s="459"/>
      <c r="M42" s="460"/>
      <c r="N42" s="460"/>
      <c r="O42" s="460"/>
      <c r="P42" s="460"/>
      <c r="Q42" s="460"/>
      <c r="R42" s="461"/>
    </row>
  </sheetData>
  <sheetProtection sheet="1" formatColumns="0" formatRows="0"/>
  <mergeCells count="68">
    <mergeCell ref="L4:R4"/>
    <mergeCell ref="L36:R42"/>
    <mergeCell ref="L21:R21"/>
    <mergeCell ref="M16:N16"/>
    <mergeCell ref="B6:I6"/>
    <mergeCell ref="B8:I8"/>
    <mergeCell ref="B10:I10"/>
    <mergeCell ref="L6:P6"/>
    <mergeCell ref="L7:P7"/>
    <mergeCell ref="P19:R19"/>
    <mergeCell ref="L25:R25"/>
    <mergeCell ref="F20:H20"/>
    <mergeCell ref="C21:D21"/>
    <mergeCell ref="P20:R20"/>
    <mergeCell ref="L20:O20"/>
    <mergeCell ref="B13:I13"/>
    <mergeCell ref="L22:N22"/>
    <mergeCell ref="L18:R18"/>
    <mergeCell ref="L8:Q8"/>
    <mergeCell ref="B11:I11"/>
    <mergeCell ref="L19:O19"/>
    <mergeCell ref="J10:J11"/>
    <mergeCell ref="M1:N1"/>
    <mergeCell ref="L27:N27"/>
    <mergeCell ref="O15:R15"/>
    <mergeCell ref="A26:J26"/>
    <mergeCell ref="P16:R16"/>
    <mergeCell ref="A1:C1"/>
    <mergeCell ref="L5:R5"/>
    <mergeCell ref="C20:D20"/>
    <mergeCell ref="A25:J25"/>
    <mergeCell ref="F21:H21"/>
    <mergeCell ref="C22:D22"/>
    <mergeCell ref="B16:I16"/>
    <mergeCell ref="B19:I19"/>
    <mergeCell ref="P22:R22"/>
    <mergeCell ref="L23:N23"/>
    <mergeCell ref="L15:N15"/>
    <mergeCell ref="D1:I1"/>
    <mergeCell ref="D2:I2"/>
    <mergeCell ref="D3:I3"/>
    <mergeCell ref="G37:I37"/>
    <mergeCell ref="D12:H12"/>
    <mergeCell ref="D4:I4"/>
    <mergeCell ref="G33:I33"/>
    <mergeCell ref="F22:H22"/>
    <mergeCell ref="A31:E31"/>
    <mergeCell ref="A29:E29"/>
    <mergeCell ref="A35:E35"/>
    <mergeCell ref="G35:I35"/>
    <mergeCell ref="A33:E33"/>
    <mergeCell ref="G31:I31"/>
    <mergeCell ref="G29:I29"/>
    <mergeCell ref="A42:E42"/>
    <mergeCell ref="A37:E37"/>
    <mergeCell ref="A39:E39"/>
    <mergeCell ref="G41:I41"/>
    <mergeCell ref="G42:I42"/>
    <mergeCell ref="A41:E41"/>
    <mergeCell ref="L29:S29"/>
    <mergeCell ref="L30:R30"/>
    <mergeCell ref="G39:I39"/>
    <mergeCell ref="P23:R23"/>
    <mergeCell ref="P27:R27"/>
    <mergeCell ref="A27:J27"/>
    <mergeCell ref="F23:H23"/>
    <mergeCell ref="L26:N26"/>
    <mergeCell ref="P26:R26"/>
  </mergeCells>
  <dataValidations count="9">
    <dataValidation type="list" allowBlank="1" showErrorMessage="1" errorTitle="Invalid Entry" error="Please select the budget version from the drop down list." sqref="D12:H12" xr:uid="{00000000-0002-0000-0000-000000000000}">
      <formula1>"Proposed, Adopted, Revised #1, Revised #2, Revised #3, Revised #4"</formula1>
    </dataValidation>
    <dataValidation type="date" operator="greaterThan" allowBlank="1" showInputMessage="1" showErrorMessage="1" errorTitle="Date" error="Enter a Valid Date_x000a_MM/DD/YYYY" promptTitle="Enter Date as" prompt="MM/DD/YYYY" sqref="F20:H20" xr:uid="{00000000-0002-0000-0000-000001000000}">
      <formula1>43241</formula1>
    </dataValidation>
    <dataValidation type="date" operator="greaterThan" allowBlank="1" showInputMessage="1" showErrorMessage="1" errorTitle="Date" error="Revision date must be greater than adopted date" promptTitle="Enter Date as" prompt="MM/DD/YYYY" sqref="F22:H22" xr:uid="{00000000-0002-0000-0000-000002000000}">
      <formula1>F21</formula1>
    </dataValidation>
    <dataValidation type="date" operator="greaterThan" allowBlank="1" showInputMessage="1" showErrorMessage="1" errorTitle="Date" error="Adopted date must be greater than proposed date" promptTitle="Enter Date as" prompt="MM/DD/YYYY" sqref="F21:H21" xr:uid="{00000000-0002-0000-0000-000003000000}">
      <formula1>F20</formula1>
    </dataValidation>
    <dataValidation type="date" operator="greaterThan" allowBlank="1" showInputMessage="1" showErrorMessage="1" errorTitle="Date" error="Enter a Valid Date MM/DD/YYYY" promptTitle="Enter Date as" prompt="MM/DD/YYYY" sqref="P19:R19" xr:uid="{00000000-0002-0000-0000-000004000000}">
      <formula1>43241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M16:N16" xr:uid="{00000000-0002-0000-0000-000005000000}">
      <formula1>AND(ISNUMBER(M16),LEN(M16)=10)</formula1>
    </dataValidation>
    <dataValidation allowBlank="1" showInputMessage="1" showErrorMessage="1" errorTitle="Email Address" error="Please enter a valid email address" promptTitle="Email Address" prompt="Please enter a valid email address." sqref="P16:R16" xr:uid="{00000000-0002-0000-0000-000006000000}"/>
    <dataValidation type="list" allowBlank="1" showInputMessage="1" showErrorMessage="1" sqref="L31" xr:uid="{00000000-0002-0000-0000-000007000000}">
      <formula1>"X"</formula1>
    </dataValidation>
    <dataValidation type="textLength" operator="equal" allowBlank="1" showInputMessage="1" showErrorMessage="1" error="This cell will only accept entries of 9 digits.  Enter your CTD number plus 3 zeros." sqref="P1" xr:uid="{00000000-0002-0000-0000-000008000000}">
      <formula1>9</formula1>
    </dataValidation>
  </dataValidations>
  <hyperlinks>
    <hyperlink ref="B13:I13" location="Version" display="Version" xr:uid="{00000000-0004-0000-0000-000000000000}"/>
    <hyperlink ref="L8:Q8" location="EstimatedRevenues" display="ESTIMATED REVENUES BY SOURCE FOR FISCAL YEAR 2019" xr:uid="{00000000-0004-0000-0000-000001000000}"/>
    <hyperlink ref="L29:S29" location="AverageTeacherSalaries" display="AVERAGE TEACHER SALARY (A.R.S. §15-189.05)" xr:uid="{00000000-0004-0000-0000-000002000000}"/>
    <hyperlink ref="O1" location="CTDSNumber" display="CTDS number" xr:uid="{00000000-0004-0000-0000-000003000000}"/>
  </hyperlinks>
  <printOptions horizontalCentered="1" verticalCentered="1"/>
  <pageMargins left="0.75" right="0.5" top="0.25" bottom="0.25" header="0" footer="0"/>
  <pageSetup paperSize="5" scale="77" orientation="landscape" r:id="rId1"/>
  <headerFooter>
    <oddFooter>&amp;L&amp;"Arial,Bold"Rev. 5/23 Arizona Department of Education and Auditor General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178"/>
  <sheetViews>
    <sheetView showGridLines="0" zoomScaleNormal="100" workbookViewId="0">
      <selection activeCell="B8" sqref="B8"/>
    </sheetView>
  </sheetViews>
  <sheetFormatPr defaultColWidth="9" defaultRowHeight="12.75"/>
  <cols>
    <col min="1" max="1" width="43.85546875" style="137" bestFit="1" customWidth="1"/>
    <col min="2" max="2" width="22.140625" style="137" bestFit="1" customWidth="1"/>
    <col min="3" max="3" width="22.140625" style="137" customWidth="1"/>
    <col min="4" max="4" width="22.140625" style="137" bestFit="1" customWidth="1"/>
    <col min="5" max="5" width="22.140625" style="137" customWidth="1"/>
    <col min="6" max="6" width="17.42578125" style="137" customWidth="1"/>
    <col min="7" max="7" width="22.140625" style="137" customWidth="1"/>
    <col min="8" max="8" width="17.5703125" style="137" bestFit="1" customWidth="1"/>
    <col min="9" max="9" width="14.42578125" style="137" customWidth="1"/>
    <col min="10" max="10" width="14.5703125" style="137" customWidth="1"/>
    <col min="11" max="12" width="9" style="137" customWidth="1"/>
    <col min="13" max="16384" width="9" style="137"/>
  </cols>
  <sheetData>
    <row r="1" spans="1:10">
      <c r="A1" s="37" t="s">
        <v>181</v>
      </c>
      <c r="B1" s="493" t="str">
        <f>CharterName</f>
        <v>Legacy Education Group, Inc.</v>
      </c>
      <c r="C1" s="493"/>
      <c r="D1" s="37" t="s">
        <v>128</v>
      </c>
      <c r="E1" s="581" t="str">
        <f>Cover!M1</f>
        <v>Maricopa</v>
      </c>
      <c r="F1" s="493"/>
      <c r="G1" s="493"/>
      <c r="H1" s="37" t="s">
        <v>220</v>
      </c>
      <c r="I1" s="494" t="str">
        <f>CTD</f>
        <v>078507000</v>
      </c>
      <c r="J1" s="494"/>
    </row>
    <row r="2" spans="1:10">
      <c r="A2" s="37"/>
      <c r="B2" s="180"/>
      <c r="C2" s="113"/>
      <c r="D2" s="37"/>
      <c r="E2" s="180"/>
      <c r="F2" s="113"/>
      <c r="G2" s="113"/>
      <c r="H2"/>
      <c r="I2" s="37"/>
      <c r="J2" s="113"/>
    </row>
    <row r="3" spans="1:10">
      <c r="A3" s="582" t="str">
        <f>IF(CharterName&lt;&gt;0,CharterName,"")</f>
        <v>Legacy Education Group, Inc.</v>
      </c>
      <c r="B3" s="582"/>
      <c r="C3" s="582"/>
      <c r="D3" s="582"/>
      <c r="E3" s="582"/>
      <c r="F3" s="582"/>
      <c r="G3" s="582"/>
      <c r="H3" s="582"/>
      <c r="I3" s="582"/>
      <c r="J3" s="582"/>
    </row>
    <row r="4" spans="1:10">
      <c r="A4" s="451" t="s">
        <v>447</v>
      </c>
      <c r="B4" s="451"/>
      <c r="C4" s="451"/>
      <c r="D4" s="451"/>
      <c r="E4" s="451"/>
      <c r="F4" s="451"/>
      <c r="G4" s="451"/>
      <c r="H4" s="451"/>
      <c r="I4" s="451"/>
      <c r="J4" s="451"/>
    </row>
    <row r="5" spans="1:10">
      <c r="A5" s="451" t="s">
        <v>468</v>
      </c>
      <c r="B5" s="451"/>
      <c r="C5" s="451"/>
      <c r="D5" s="451"/>
      <c r="E5" s="451"/>
      <c r="F5" s="451"/>
      <c r="G5" s="451"/>
      <c r="H5" s="451"/>
      <c r="I5" s="451"/>
      <c r="J5" s="451"/>
    </row>
    <row r="6" spans="1:10" s="138" customFormat="1" ht="13.5" thickBot="1">
      <c r="A6" s="181"/>
      <c r="B6" s="181"/>
      <c r="C6" s="181"/>
      <c r="D6" s="181"/>
      <c r="E6" s="181"/>
      <c r="F6" s="181"/>
      <c r="G6" s="181"/>
      <c r="H6" s="181"/>
      <c r="I6" s="181"/>
      <c r="J6" s="182" t="s">
        <v>410</v>
      </c>
    </row>
    <row r="7" spans="1:10" ht="51">
      <c r="A7" s="110" t="s">
        <v>402</v>
      </c>
      <c r="B7" s="183" t="s">
        <v>403</v>
      </c>
      <c r="C7" s="183" t="s">
        <v>404</v>
      </c>
      <c r="D7" s="183" t="s">
        <v>405</v>
      </c>
      <c r="E7" s="183" t="s">
        <v>406</v>
      </c>
      <c r="F7" s="183" t="s">
        <v>407</v>
      </c>
      <c r="G7" s="183" t="s">
        <v>408</v>
      </c>
      <c r="H7" s="183" t="s">
        <v>409</v>
      </c>
      <c r="I7"/>
      <c r="J7"/>
    </row>
    <row r="8" spans="1:10">
      <c r="A8" s="140" t="s">
        <v>129</v>
      </c>
      <c r="B8" s="184">
        <f>NonAOIStudCntPSDCY</f>
        <v>0</v>
      </c>
      <c r="C8" s="184">
        <v>0</v>
      </c>
      <c r="D8" s="184">
        <v>0</v>
      </c>
      <c r="E8" s="184">
        <f>IF(AND(B8=0,C8=0,D8=0),0,1.45)</f>
        <v>0</v>
      </c>
      <c r="F8" s="184">
        <f>B8*E8</f>
        <v>0</v>
      </c>
      <c r="G8" s="184">
        <f>E8*C8</f>
        <v>0</v>
      </c>
      <c r="H8" s="184">
        <f>E8*D8</f>
        <v>0</v>
      </c>
      <c r="I8"/>
      <c r="J8"/>
    </row>
    <row r="9" spans="1:10">
      <c r="A9" s="140" t="s">
        <v>437</v>
      </c>
      <c r="B9" s="184">
        <f>NonAOIStudCntK8CY</f>
        <v>0</v>
      </c>
      <c r="C9" s="184">
        <f>AOIFTStudCntK8CY</f>
        <v>0</v>
      </c>
      <c r="D9" s="184">
        <f>AOIPTStudCntK8CY</f>
        <v>0</v>
      </c>
      <c r="E9" s="184">
        <f>IF(AND(B9=0,C9=0,D9=0),0,IF(OR('Data Entry'!B8="X",'Data Entry'!B9="X",'Data Entry'!B10="X",'Data Entry'!B11="X"),Calculations!L58,Calculations!L57))</f>
        <v>0</v>
      </c>
      <c r="F9" s="184">
        <f>B9*E9</f>
        <v>0</v>
      </c>
      <c r="G9" s="184">
        <f>E9*C9</f>
        <v>0</v>
      </c>
      <c r="H9" s="184">
        <f>E9*D9</f>
        <v>0</v>
      </c>
      <c r="I9"/>
      <c r="J9"/>
    </row>
    <row r="10" spans="1:10">
      <c r="A10" s="140" t="s">
        <v>131</v>
      </c>
      <c r="B10" s="184">
        <f>NonAOIStudCnt912CY</f>
        <v>150</v>
      </c>
      <c r="C10" s="184">
        <f>AOIFTStudCnt912CY</f>
        <v>0</v>
      </c>
      <c r="D10" s="184">
        <f>AOIPTStudCnt912CY</f>
        <v>0</v>
      </c>
      <c r="E10" s="184">
        <f>IF(AND(B10=0,C10=0,D10=0),0,IF(OR('Data Entry'!B8="X",'Data Entry'!B9="X",'Data Entry'!B10="X",'Data Entry'!B11="X"),Calculations!N58,Calculations!N57))</f>
        <v>1.538</v>
      </c>
      <c r="F10" s="184">
        <f>B10*E10</f>
        <v>230.7</v>
      </c>
      <c r="G10" s="184">
        <f>E10*C10</f>
        <v>0</v>
      </c>
      <c r="H10" s="184">
        <f>E10*D10</f>
        <v>0</v>
      </c>
      <c r="I10"/>
      <c r="J10"/>
    </row>
    <row r="11" spans="1:10">
      <c r="A11" s="185" t="s">
        <v>425</v>
      </c>
      <c r="B11" s="186">
        <f>SUM(B8:B10)</f>
        <v>150</v>
      </c>
      <c r="C11" s="187">
        <f>SUM(C8:C10)</f>
        <v>0</v>
      </c>
      <c r="D11" s="187">
        <f>SUM(D8:D10)</f>
        <v>0</v>
      </c>
      <c r="E11" s="188"/>
      <c r="F11" s="188"/>
      <c r="G11" s="188"/>
      <c r="H11" s="188"/>
      <c r="I11"/>
      <c r="J11"/>
    </row>
    <row r="12" spans="1:10" ht="12.75" customHeight="1">
      <c r="A12" s="189" t="s">
        <v>448</v>
      </c>
      <c r="B12" s="190"/>
      <c r="C12" s="188"/>
      <c r="D12" s="187">
        <f>SUM(B11:D11)</f>
        <v>150</v>
      </c>
      <c r="E12" s="188"/>
      <c r="F12" s="188"/>
      <c r="G12" s="188"/>
      <c r="H12" s="188"/>
      <c r="I12"/>
      <c r="J12"/>
    </row>
    <row r="13" spans="1:10" ht="12.75" customHeight="1">
      <c r="A13" s="101" t="s">
        <v>411</v>
      </c>
      <c r="B13" s="191"/>
      <c r="C13" s="188"/>
      <c r="D13" s="188"/>
      <c r="E13" s="188"/>
      <c r="F13" s="187">
        <f>((B8*E8)+(B9*E9)+(B10*E10))</f>
        <v>230.7</v>
      </c>
      <c r="G13" s="187">
        <f>((C8*E8)+(C9*E9)+(C10*E10))</f>
        <v>0</v>
      </c>
      <c r="H13" s="187">
        <f>((D8*E8)+(D9*E9)+(D10*E10))</f>
        <v>0</v>
      </c>
      <c r="I13"/>
      <c r="J13"/>
    </row>
    <row r="14" spans="1:10" ht="12.75" customHeight="1" thickBot="1">
      <c r="A14" s="192" t="s">
        <v>449</v>
      </c>
      <c r="B14" s="193"/>
      <c r="C14" s="193"/>
      <c r="D14" s="193"/>
      <c r="E14" s="193"/>
      <c r="F14" s="194"/>
      <c r="G14" s="194"/>
      <c r="H14" s="195">
        <f>((B8*E8)+(B9*E9)+(B10*E10))+((C8*E8)+(C9*E9)+(C10*E10))+((D8*E8)+(D9*E9)+(D10*E10))</f>
        <v>230.7</v>
      </c>
      <c r="I14" s="181"/>
      <c r="J14" s="181"/>
    </row>
    <row r="15" spans="1:10" ht="39" customHeight="1">
      <c r="A15" s="196" t="s">
        <v>446</v>
      </c>
      <c r="B15" s="197" t="s">
        <v>403</v>
      </c>
      <c r="C15" s="197" t="s">
        <v>404</v>
      </c>
      <c r="D15" s="197" t="s">
        <v>405</v>
      </c>
      <c r="E15" s="197" t="s">
        <v>406</v>
      </c>
      <c r="F15" s="197" t="s">
        <v>407</v>
      </c>
      <c r="G15" s="197" t="s">
        <v>408</v>
      </c>
      <c r="H15" s="197" t="s">
        <v>409</v>
      </c>
      <c r="I15"/>
      <c r="J15"/>
    </row>
    <row r="16" spans="1:10">
      <c r="A16" s="113" t="s">
        <v>152</v>
      </c>
      <c r="B16" s="184">
        <f>NonAOIStudCntELL</f>
        <v>0</v>
      </c>
      <c r="C16" s="184">
        <f>AOIFTStudCntELL</f>
        <v>0</v>
      </c>
      <c r="D16" s="184">
        <f>AOIPTStudCntELL</f>
        <v>0</v>
      </c>
      <c r="E16" s="184">
        <v>0.115</v>
      </c>
      <c r="F16" s="184">
        <f>E16*NonAOIStudCntELL</f>
        <v>0</v>
      </c>
      <c r="G16" s="184">
        <f>E16*AOIFTStudCntELL</f>
        <v>0</v>
      </c>
      <c r="H16" s="184">
        <f>E16*AOIPTStudCntELL</f>
        <v>0</v>
      </c>
      <c r="I16"/>
      <c r="J16"/>
    </row>
    <row r="17" spans="1:10">
      <c r="A17" s="113" t="s">
        <v>138</v>
      </c>
      <c r="B17" s="184">
        <f>NonAOIStudCntK3</f>
        <v>0</v>
      </c>
      <c r="C17" s="184">
        <f>AOIFTStudCntK3</f>
        <v>0</v>
      </c>
      <c r="D17" s="184">
        <f>AOIPTStudCntK3</f>
        <v>0</v>
      </c>
      <c r="E17" s="184">
        <v>0.06</v>
      </c>
      <c r="F17" s="184">
        <f>E17*NonAOIStudCntK3</f>
        <v>0</v>
      </c>
      <c r="G17" s="184">
        <f>E17*AOIFTStudCntK3</f>
        <v>0</v>
      </c>
      <c r="H17" s="184">
        <f>E17*AOIPTStudCntK3</f>
        <v>0</v>
      </c>
      <c r="I17"/>
      <c r="J17"/>
    </row>
    <row r="18" spans="1:10" ht="12.75" customHeight="1">
      <c r="A18" s="113" t="s">
        <v>426</v>
      </c>
      <c r="B18" s="184">
        <f>NonAOIStudCntK3Read</f>
        <v>0</v>
      </c>
      <c r="C18" s="184">
        <f>AOIFTStudCntK3Read</f>
        <v>0</v>
      </c>
      <c r="D18" s="184">
        <f>AOIPTStudCntK3Read</f>
        <v>0</v>
      </c>
      <c r="E18" s="184">
        <v>0.04</v>
      </c>
      <c r="F18" s="184">
        <f>E18*NonAOIStudCntK3Read</f>
        <v>0</v>
      </c>
      <c r="G18" s="184">
        <f>E18*AOIFTStudCntK3Read</f>
        <v>0</v>
      </c>
      <c r="H18" s="184">
        <f>E18*AOIPTStudCntK3Read</f>
        <v>0</v>
      </c>
      <c r="I18"/>
      <c r="J18"/>
    </row>
    <row r="19" spans="1:10" ht="11.25" customHeight="1">
      <c r="A19" s="113" t="s">
        <v>153</v>
      </c>
      <c r="B19" s="184">
        <f>NonAOIStudCntHI</f>
        <v>0</v>
      </c>
      <c r="C19" s="184">
        <f>AOIFTStudCntHI</f>
        <v>0</v>
      </c>
      <c r="D19" s="184">
        <f>AOIPTStudCntHI</f>
        <v>0</v>
      </c>
      <c r="E19" s="184">
        <v>4.7709999999999999</v>
      </c>
      <c r="F19" s="184">
        <f>E19*NonAOIStudCntHI</f>
        <v>0</v>
      </c>
      <c r="G19" s="184">
        <f>E19*AOIFTStudCntHI</f>
        <v>0</v>
      </c>
      <c r="H19" s="184">
        <f>E19*AOIPTStudCntHI</f>
        <v>0</v>
      </c>
      <c r="I19"/>
      <c r="J19"/>
    </row>
    <row r="20" spans="1:10">
      <c r="A20" s="198" t="s">
        <v>154</v>
      </c>
      <c r="B20" s="184">
        <f>NonAOIStudCntMDR.AR.SIDR</f>
        <v>7</v>
      </c>
      <c r="C20" s="184">
        <f>AOIFTStudCntMDR.AR.SIDR</f>
        <v>0</v>
      </c>
      <c r="D20" s="184">
        <f>AOIPTStudCntMDR.AR.SIDR</f>
        <v>0</v>
      </c>
      <c r="E20" s="184">
        <v>6.024</v>
      </c>
      <c r="F20" s="184">
        <f>E20*NonAOIStudCntMDR.AR.SIDR</f>
        <v>42.167999999999999</v>
      </c>
      <c r="G20" s="184">
        <f>E20*AOIFTStudCntMDR.AR.SIDR</f>
        <v>0</v>
      </c>
      <c r="H20" s="184">
        <f>E20*AOIPTStudCntMDR.AR.SIDR</f>
        <v>0</v>
      </c>
      <c r="I20"/>
      <c r="J20"/>
    </row>
    <row r="21" spans="1:10" ht="12.75" customHeight="1">
      <c r="A21" s="198" t="s">
        <v>155</v>
      </c>
      <c r="B21" s="184">
        <f>NonAOIStudCntMDSC.ASC.SIDSC</f>
        <v>0</v>
      </c>
      <c r="C21" s="184">
        <f>AOIFTStudCntMDSC.ASC.SIDSC</f>
        <v>0</v>
      </c>
      <c r="D21" s="184">
        <f>AOIPTStudCntMDSC.ASC.SIDSC</f>
        <v>0</v>
      </c>
      <c r="E21" s="184">
        <v>5.9880000000000004</v>
      </c>
      <c r="F21" s="184">
        <f>E21*NonAOIStudCntMDSC.ASC.SIDSC</f>
        <v>0</v>
      </c>
      <c r="G21" s="184">
        <f>E21*AOIFTStudCntMDSC.ASC.SIDSC</f>
        <v>0</v>
      </c>
      <c r="H21" s="184">
        <f>E21*AOIPTStudCntMDSC.ASC.SIDSC</f>
        <v>0</v>
      </c>
      <c r="I21"/>
      <c r="J21"/>
    </row>
    <row r="22" spans="1:10">
      <c r="A22" s="198" t="s">
        <v>450</v>
      </c>
      <c r="B22" s="184">
        <f>NonAOIStudCntMDSSI</f>
        <v>0</v>
      </c>
      <c r="C22" s="184">
        <f>AOIFTStudCntMDSSI</f>
        <v>0</v>
      </c>
      <c r="D22" s="184">
        <f>AOIPTStudCntMDSSI</f>
        <v>0</v>
      </c>
      <c r="E22" s="184">
        <v>7.9470000000000001</v>
      </c>
      <c r="F22" s="184">
        <f>E22*NonAOIStudCntMDSSI</f>
        <v>0</v>
      </c>
      <c r="G22" s="184">
        <f>E22*AOIFTStudCntMDSSI</f>
        <v>0</v>
      </c>
      <c r="H22" s="184">
        <f>E22*AOIPTStudCntMDSSI</f>
        <v>0</v>
      </c>
      <c r="I22"/>
      <c r="J22"/>
    </row>
    <row r="23" spans="1:10">
      <c r="A23" s="198" t="s">
        <v>427</v>
      </c>
      <c r="B23" s="184">
        <f>NonAOIStudCntOIR</f>
        <v>0</v>
      </c>
      <c r="C23" s="184">
        <f>AOIFTStudCntOIR</f>
        <v>0</v>
      </c>
      <c r="D23" s="184">
        <f>AOIPTStudCntOIR</f>
        <v>0</v>
      </c>
      <c r="E23" s="184">
        <v>3.1579999999999999</v>
      </c>
      <c r="F23" s="184">
        <f>E23*NonAOIStudCntOIR</f>
        <v>0</v>
      </c>
      <c r="G23" s="184">
        <f>E23*AOIFTStudCntOIR</f>
        <v>0</v>
      </c>
      <c r="H23" s="184">
        <f>E23*AOIPTStudCntOIR</f>
        <v>0</v>
      </c>
      <c r="I23"/>
      <c r="J23"/>
    </row>
    <row r="24" spans="1:10">
      <c r="A24" s="198" t="s">
        <v>428</v>
      </c>
      <c r="B24" s="184">
        <f>NonAOIStudCntOISC</f>
        <v>0</v>
      </c>
      <c r="C24" s="184">
        <f>AOIFTStudCntOISC</f>
        <v>0</v>
      </c>
      <c r="D24" s="184">
        <f>AOIPTStudCntOISC</f>
        <v>0</v>
      </c>
      <c r="E24" s="184">
        <v>6.7729999999999997</v>
      </c>
      <c r="F24" s="184">
        <f>E24*NonAOIStudCntOISC</f>
        <v>0</v>
      </c>
      <c r="G24" s="184">
        <f>E24*AOIFTStudCntOISC</f>
        <v>0</v>
      </c>
      <c r="H24" s="184">
        <f>E24*AOIPTStudCntOISC</f>
        <v>0</v>
      </c>
      <c r="I24"/>
      <c r="J24"/>
    </row>
    <row r="25" spans="1:10">
      <c r="A25" s="198" t="s">
        <v>156</v>
      </c>
      <c r="B25" s="184">
        <f>NonAOIStudCntP.SD</f>
        <v>0</v>
      </c>
      <c r="C25" s="184">
        <f>AOIFTStudCntP.SD</f>
        <v>0</v>
      </c>
      <c r="D25" s="184">
        <f>AOIPTStudCntP.SD</f>
        <v>0</v>
      </c>
      <c r="E25" s="184">
        <v>3.5950000000000002</v>
      </c>
      <c r="F25" s="184">
        <f>E25*NonAOIStudCntP.SD</f>
        <v>0</v>
      </c>
      <c r="G25" s="184">
        <f>E25*AOIFTStudCntP.SD</f>
        <v>0</v>
      </c>
      <c r="H25" s="184">
        <f>E25*AOIPTStudCntP.SD</f>
        <v>0</v>
      </c>
      <c r="I25"/>
      <c r="J25"/>
    </row>
    <row r="26" spans="1:10">
      <c r="A26" s="198" t="s">
        <v>159</v>
      </c>
      <c r="B26" s="184">
        <f>NonAOIStudCntDD.ED.MIID.SLD.SLI.OHI</f>
        <v>35</v>
      </c>
      <c r="C26" s="184">
        <f>AOIFTStudCntDD.ED.MIID.SLD.SLI.OHI</f>
        <v>0</v>
      </c>
      <c r="D26" s="184">
        <f>AOIPTStudCntDD.ED.MIID.SLD.SLI.OHI</f>
        <v>0</v>
      </c>
      <c r="E26" s="184">
        <v>0.29199999999999998</v>
      </c>
      <c r="F26" s="184">
        <f>E26*NonAOIStudCntDD.ED.MIID.SLD.SLI.OHI</f>
        <v>10.220000000000001</v>
      </c>
      <c r="G26" s="184">
        <f>E26*AOIFTStudCntDD.ED.MIID.SLD.SLI.OHI</f>
        <v>0</v>
      </c>
      <c r="H26" s="184">
        <f>E26*AOIPTStudCntDD.ED.MIID.SLD.SLI.OHI</f>
        <v>0</v>
      </c>
      <c r="I26"/>
      <c r="J26"/>
    </row>
    <row r="27" spans="1:10">
      <c r="A27" s="198" t="s">
        <v>451</v>
      </c>
      <c r="B27" s="184">
        <f>NonAOIStudCntEDP</f>
        <v>0</v>
      </c>
      <c r="C27" s="184">
        <f>AOIFTStudCntEDP</f>
        <v>0</v>
      </c>
      <c r="D27" s="184">
        <f>AOIPTStudCntEDP</f>
        <v>0</v>
      </c>
      <c r="E27" s="184">
        <v>4.8220000000000001</v>
      </c>
      <c r="F27" s="184">
        <f>E27*NonAOIStudCntEDP</f>
        <v>0</v>
      </c>
      <c r="G27" s="184">
        <f>E27*AOIFTStudCntEDP</f>
        <v>0</v>
      </c>
      <c r="H27" s="184">
        <f>E27*AOIPTStudCntEDP</f>
        <v>0</v>
      </c>
      <c r="I27"/>
      <c r="J27"/>
    </row>
    <row r="28" spans="1:10">
      <c r="A28" s="198" t="s">
        <v>157</v>
      </c>
      <c r="B28" s="184">
        <f>NonAOIStudCntMOID</f>
        <v>0</v>
      </c>
      <c r="C28" s="184">
        <f>AOIFTStudCntMOID</f>
        <v>0</v>
      </c>
      <c r="D28" s="184">
        <f>AOIPTStudCntMOID</f>
        <v>0</v>
      </c>
      <c r="E28" s="184">
        <v>4.4210000000000003</v>
      </c>
      <c r="F28" s="184">
        <f>E28*NonAOIStudCntMOID</f>
        <v>0</v>
      </c>
      <c r="G28" s="184">
        <f>E28*AOIFTStudCntMOID</f>
        <v>0</v>
      </c>
      <c r="H28" s="184">
        <f>E28*AOIPTStudCntMOID</f>
        <v>0</v>
      </c>
      <c r="I28"/>
      <c r="J28"/>
    </row>
    <row r="29" spans="1:10">
      <c r="A29" s="198" t="s">
        <v>158</v>
      </c>
      <c r="B29" s="184">
        <f>NonAOIStudCntVI</f>
        <v>0</v>
      </c>
      <c r="C29" s="184">
        <f>AOIFTStudCntVI</f>
        <v>0</v>
      </c>
      <c r="D29" s="184">
        <f>AOIPTStudCntVI</f>
        <v>0</v>
      </c>
      <c r="E29" s="184">
        <v>4.806</v>
      </c>
      <c r="F29" s="184">
        <f>E29*NonAOIStudCntVI</f>
        <v>0</v>
      </c>
      <c r="G29" s="184">
        <f>E29*AOIFTStudCntVI</f>
        <v>0</v>
      </c>
      <c r="H29" s="184">
        <f>E29*AOIPTStudCntVI</f>
        <v>0</v>
      </c>
      <c r="I29"/>
      <c r="J29"/>
    </row>
    <row r="30" spans="1:10">
      <c r="A30" s="198" t="s">
        <v>457</v>
      </c>
      <c r="B30" s="184">
        <f>NonAOIStudCntG</f>
        <v>0</v>
      </c>
      <c r="C30" s="184">
        <f>AOIFTStudCntG</f>
        <v>0</v>
      </c>
      <c r="D30" s="184">
        <f>AOIPTStudCntG</f>
        <v>0</v>
      </c>
      <c r="E30" s="184">
        <v>7.0000000000000001E-3</v>
      </c>
      <c r="F30" s="184">
        <f>E30*NonAOIStudCntG</f>
        <v>0</v>
      </c>
      <c r="G30" s="184">
        <f>E30*AOIFTStudCntG</f>
        <v>0</v>
      </c>
      <c r="H30" s="184">
        <f>E30*AOIPTStudCntG</f>
        <v>0</v>
      </c>
      <c r="I30"/>
      <c r="J30"/>
    </row>
    <row r="31" spans="1:10">
      <c r="A31" s="140" t="s">
        <v>464</v>
      </c>
      <c r="B31" s="184">
        <f>NonAOIStudCntFRPL</f>
        <v>0</v>
      </c>
      <c r="C31" s="184">
        <f>AOIFTStudCntFRPL</f>
        <v>0</v>
      </c>
      <c r="D31" s="184">
        <f>AOIPTStudCntFRPL</f>
        <v>0</v>
      </c>
      <c r="E31" s="199">
        <v>2.1999999999999999E-2</v>
      </c>
      <c r="F31" s="184">
        <f>E31*NonAOIStudCntFRPL</f>
        <v>0</v>
      </c>
      <c r="G31" s="184">
        <f>E31*AOIFTStudCntFRPL</f>
        <v>0</v>
      </c>
      <c r="H31" s="184">
        <f>E31*AOIPTStudCntFRPL</f>
        <v>0</v>
      </c>
      <c r="I31"/>
      <c r="J31"/>
    </row>
    <row r="32" spans="1:10">
      <c r="A32" s="200" t="s">
        <v>443</v>
      </c>
      <c r="B32" s="201">
        <f>SUM(B16:B31)</f>
        <v>42</v>
      </c>
      <c r="C32" s="187">
        <f>SUM(C16:C31)</f>
        <v>0</v>
      </c>
      <c r="D32" s="187">
        <f>SUM(D16:D31)</f>
        <v>0</v>
      </c>
      <c r="E32" s="187"/>
      <c r="F32" s="187"/>
      <c r="G32" s="187"/>
      <c r="H32" s="187"/>
      <c r="I32"/>
      <c r="J32"/>
    </row>
    <row r="33" spans="1:10">
      <c r="A33" s="202" t="s">
        <v>444</v>
      </c>
      <c r="B33" s="201"/>
      <c r="C33" s="187"/>
      <c r="D33" s="187">
        <f>SUM(B32:D32)</f>
        <v>42</v>
      </c>
      <c r="E33" s="187"/>
      <c r="F33" s="187"/>
      <c r="G33" s="187"/>
      <c r="H33" s="187"/>
      <c r="I33"/>
      <c r="J33"/>
    </row>
    <row r="34" spans="1:10" ht="12.75" customHeight="1">
      <c r="A34" s="202" t="s">
        <v>430</v>
      </c>
      <c r="B34" s="201"/>
      <c r="C34" s="187"/>
      <c r="D34" s="187"/>
      <c r="E34" s="187"/>
      <c r="F34" s="187">
        <f>((B16*E16)+(B17*E17)+(B18*E18)+(B19*E19)+(B20*E20)+(B21*E21)+(B22*E22)+(B23*E23)+(B24*E24)+(B25*E25)+(B26*E26)+(B27*E27)+(B28*E28)+(B29*E29)+(B30*E30)+(B31*E31))</f>
        <v>52.387999999999998</v>
      </c>
      <c r="G34" s="187">
        <f>((C16*E16)+(C17*E17)+(C18*E18)+(C19*E19)+(C20*E20)+(C21*E21)+(C22*E22)+(C23*E23)+(C24*E24)+(C25*E25)+(C26*E26)+(C27*E27)+(C28*E28)+(C29*E29)+(C30*E30)+(C31*E31))</f>
        <v>0</v>
      </c>
      <c r="H34" s="187">
        <f>((D16*E16)+(D17*E17)+(D18*E18)+(D19*E19)+(D20*E20)+(D21*E21)+(D22*E22)+(D23*E23)+(D24*E24)+(D25*E25)+(D26*E26)+(D27*E27)+(D28*E28)+(D29*E29)+(D30*E30)+(D31*E31))</f>
        <v>0</v>
      </c>
      <c r="I34" s="138"/>
      <c r="J34" s="138"/>
    </row>
    <row r="35" spans="1:10" s="138" customFormat="1">
      <c r="A35" s="202" t="s">
        <v>445</v>
      </c>
      <c r="B35" s="201"/>
      <c r="C35" s="203"/>
      <c r="D35" s="203"/>
      <c r="E35" s="203"/>
      <c r="F35" s="203"/>
      <c r="G35" s="203"/>
      <c r="H35" s="203">
        <f>((B16*E16)+(B17*E17)+(B18*E18)+(B19*E19)+(B20*E20)+(B21*E21)+(B22*E22)+(B23*E23)+(B24*E24)+(B25*E25)+(B26*E26)+(B27*E27)+(B28*E28)+(B29*E29)+(B31*E31))+((C16*E16)+(C17*E17)+(C18*E18)+(C19*E19)+(C20*E20)+(C21*E21)+(C22*E22)+(C23*E23)+(C24*E24)+(C25*E25)+(C26*E26)+(C27*E27)+(C28*E28)+(C29*E29)+(C31*E31))+((D16*E16)+(D17*E17)+(D18*E18)+(D19*E19)+(D20*E20)+(D21*E21)+(D22*E22)+(D23*E23)+(D24*E24)+(D25*E25)+(D26*E26)+(D27*E27)+(D28*E28)+(D29*E29)+(B30*E30)+(C30*E30)+(D30*E30)+(D31*E31))</f>
        <v>52.387999999999998</v>
      </c>
      <c r="I35" s="204"/>
    </row>
    <row r="36" spans="1:10">
      <c r="A36" s="451" t="str">
        <f>A3</f>
        <v>Legacy Education Group, Inc.</v>
      </c>
      <c r="B36" s="451"/>
      <c r="C36" s="451"/>
      <c r="D36" s="451"/>
      <c r="E36" s="451"/>
      <c r="F36" s="451"/>
      <c r="G36" s="451"/>
      <c r="H36" s="451"/>
      <c r="I36" s="451"/>
      <c r="J36" s="451"/>
    </row>
    <row r="37" spans="1:10">
      <c r="A37" s="451" t="s">
        <v>447</v>
      </c>
      <c r="B37" s="451"/>
      <c r="C37" s="451"/>
      <c r="D37" s="451"/>
      <c r="E37" s="451"/>
      <c r="F37" s="451"/>
      <c r="G37" s="451"/>
      <c r="H37" s="451"/>
      <c r="I37" s="451"/>
      <c r="J37" s="451"/>
    </row>
    <row r="38" spans="1:10">
      <c r="A38" s="451" t="s">
        <v>468</v>
      </c>
      <c r="B38" s="451"/>
      <c r="C38" s="451"/>
      <c r="D38" s="451"/>
      <c r="E38" s="451"/>
      <c r="F38" s="451"/>
      <c r="G38" s="451"/>
      <c r="H38" s="451"/>
      <c r="I38" s="451"/>
      <c r="J38" s="451"/>
    </row>
    <row r="39" spans="1:10" s="138" customFormat="1" ht="13.5" thickBot="1">
      <c r="A39" s="181"/>
      <c r="B39" s="181"/>
      <c r="C39" s="181"/>
      <c r="D39" s="181"/>
      <c r="E39" s="181"/>
      <c r="F39" s="181"/>
      <c r="G39" s="181"/>
      <c r="H39" s="181"/>
      <c r="I39" s="181"/>
      <c r="J39" s="182" t="s">
        <v>417</v>
      </c>
    </row>
    <row r="40" spans="1:10">
      <c r="A40"/>
      <c r="B40"/>
      <c r="C40"/>
      <c r="D40"/>
      <c r="E40"/>
      <c r="F40"/>
      <c r="G40"/>
      <c r="H40"/>
      <c r="I40"/>
      <c r="J40"/>
    </row>
    <row r="41" spans="1:10">
      <c r="A41" s="202" t="s">
        <v>429</v>
      </c>
      <c r="B41"/>
      <c r="C41"/>
      <c r="D41"/>
      <c r="E41"/>
      <c r="F41"/>
      <c r="G41"/>
      <c r="H41"/>
      <c r="I41"/>
      <c r="J41"/>
    </row>
    <row r="42" spans="1:10" ht="38.25">
      <c r="A42" s="205"/>
      <c r="B42"/>
      <c r="C42" s="183" t="s">
        <v>414</v>
      </c>
      <c r="D42"/>
      <c r="E42" s="183" t="s">
        <v>415</v>
      </c>
      <c r="F42"/>
      <c r="G42" s="183" t="s">
        <v>416</v>
      </c>
      <c r="H42"/>
      <c r="I42"/>
      <c r="J42"/>
    </row>
    <row r="43" spans="1:10" ht="13.5" customHeight="1">
      <c r="A43" s="124" t="s">
        <v>411</v>
      </c>
      <c r="B43"/>
      <c r="C43" s="206">
        <f>((B8*E8)+(B9*E9)+(B10*E10))</f>
        <v>230.7</v>
      </c>
      <c r="D43"/>
      <c r="E43" s="206">
        <f>((C8*E8)+(C9*E9)+(C10*E10))</f>
        <v>0</v>
      </c>
      <c r="F43" s="188"/>
      <c r="G43" s="206">
        <f>((D8*E8)+(D9*E9)+(D10*E10))</f>
        <v>0</v>
      </c>
      <c r="H43" s="188"/>
      <c r="I43"/>
      <c r="J43"/>
    </row>
    <row r="44" spans="1:10">
      <c r="A44" s="124" t="s">
        <v>430</v>
      </c>
      <c r="B44" s="33" t="s">
        <v>136</v>
      </c>
      <c r="C44" s="206">
        <f>((B16*E16)+(B17*E17)+(B18*E18)+(B19*E19)+(B20*E20)+(B21*E21)+(B22*E22)+(B23*E23)+(B24*E24)+(B25*E25)+(B26*E26)+(B27*E27)+(B28*E28)+(B29*E29)+(B30*E30)+(B31*E31))</f>
        <v>52.387999999999998</v>
      </c>
      <c r="D44" s="33" t="s">
        <v>136</v>
      </c>
      <c r="E44" s="206">
        <f>((C16*E16)+(C17*E17)+(C18*E18)+(C19*E19)+(C20*E20)+(C21*E21)+(C22*E22)+(C23*E23)+(C24*E24)+(C25*E25)+(C26*E26)+(C27*E27)+(C28*E28)+(C29*E29)+(C30*E30)+(C31*E31))</f>
        <v>0</v>
      </c>
      <c r="F44" s="207" t="s">
        <v>136</v>
      </c>
      <c r="G44" s="206">
        <f>((D16*E16)+(D17*E17)+(D18*E18)+(D19*E19)+(D20*E20)+(D21*E21)+(D22*E22)+(D23*E23)+(D24*E24)+(D25*E25)+(D26*E26)+(D27*E27)+(D28*E28)+(D29*E29)+(D30*E30)+(D31*E31))</f>
        <v>0</v>
      </c>
      <c r="H44" s="188"/>
      <c r="I44"/>
      <c r="J44"/>
    </row>
    <row r="45" spans="1:10">
      <c r="A45" s="124" t="s">
        <v>431</v>
      </c>
      <c r="B45" s="33" t="s">
        <v>134</v>
      </c>
      <c r="C45" s="206">
        <f>((B8*E8)+(B9*E9)+(B10*E10))+((B16*E16)+(B17*E17)+(B18*E18)+(B19*E19)+(B20*E20)+(B21*E21)+(B22*E22)+(B23*E23)+(B24*E24)+(B25*E25)+(B26*E26)+(B27*E27)+(B28*E28)+(B29*E29)+(B30*E30)+(B31*E31))</f>
        <v>283.08800000000002</v>
      </c>
      <c r="D45" s="33" t="s">
        <v>134</v>
      </c>
      <c r="E45" s="206">
        <f>((C8*E8)+(C9*E9)+(C10*E10))+((C16*E16)+(C17*E17)+(C18*E18)+(C19*E19)+(C20*E20)+(C21*E21)+(C22*E22)+(C23*E23)+(C24*E24)+(C25*E25)+(C26*E26)+(C27*E27)+(C28*E28)+(C29*E29)+(C30*E30)+(C31*E31))</f>
        <v>0</v>
      </c>
      <c r="F45" s="207" t="s">
        <v>134</v>
      </c>
      <c r="G45" s="206">
        <f>((D8*E8)+(D9*E9)+(D10*E10))+((D16*E16)+(D17*E17)+(D18*E18)+(D19*E19)+(D20*E20)+(D21*E21)+(D22*E22)+(D23*E23)+(D24*E24)+(D25*E25)+(D26*E26)+(D27*E27)+(D28*E28)+(D29*E29)+(D30*E30)+(D31*E31))</f>
        <v>0</v>
      </c>
      <c r="H45" s="188"/>
      <c r="I45"/>
      <c r="J45"/>
    </row>
    <row r="46" spans="1:10">
      <c r="A46" s="124" t="s">
        <v>432</v>
      </c>
      <c r="B46" s="33" t="s">
        <v>135</v>
      </c>
      <c r="C46" s="206">
        <v>1</v>
      </c>
      <c r="D46" s="33" t="s">
        <v>135</v>
      </c>
      <c r="E46" s="206">
        <v>0.95</v>
      </c>
      <c r="F46" s="207" t="s">
        <v>135</v>
      </c>
      <c r="G46" s="206">
        <v>0.85</v>
      </c>
      <c r="H46" s="188"/>
      <c r="I46"/>
      <c r="J46"/>
    </row>
    <row r="47" spans="1:10">
      <c r="A47" s="124" t="s">
        <v>433</v>
      </c>
      <c r="B47" s="33" t="s">
        <v>134</v>
      </c>
      <c r="C47" s="206">
        <f>(((B8*E8)+(B9*E9)+(B10*E10))+((B16*E16)+(B17*E17)+(B18*E18)+(B19*E19)+(B20*E20)+(B21*E21)+(B22*E22)+(B23*E23)+(B24*E24)+(B25*E25)+(B26*E26)+(B27*E27)+(B28*E28)+(B29*E29)+(B30*E30)+(B31*E31))*C46)</f>
        <v>283.08800000000002</v>
      </c>
      <c r="D47" s="33" t="s">
        <v>134</v>
      </c>
      <c r="E47" s="206">
        <f>(((C8*E8)+(C9*E9)+(C10*E10))+((C16*E16)+(C17*E17)+(C18*E18)+(C19*E19)+(C20*E20)+(C21*E21)+(C22*E22)+(C23*E23)+(C24*E24)+(C25*E25)+(C26*E26)+(C27*E27)+(C28*E28)+(C29*E29)+(C30*E30)+(C31*E31)))*E46</f>
        <v>0</v>
      </c>
      <c r="F47" s="207" t="s">
        <v>134</v>
      </c>
      <c r="G47" s="206">
        <f>((((D8*E8)+(D9*E9)+(D10*E10))+((D16*E16)+(D17*E17)+(D18*E18)+(D19*E19)+(D20*E20)+(D21*E21)+(D22*E22)+(D23*E23)+(D24*E24)+(D25*E25)+(D26*E26)+(D27*E27)+(D28*E28)+(D29*E29)+(D30*E30)+(D31*E31)))*G46)</f>
        <v>0</v>
      </c>
      <c r="H47" s="188"/>
      <c r="I47"/>
      <c r="J47"/>
    </row>
    <row r="48" spans="1:10">
      <c r="A48"/>
      <c r="B48"/>
      <c r="C48" s="188"/>
      <c r="D48"/>
      <c r="E48" s="188"/>
      <c r="F48" s="188"/>
      <c r="G48" s="188"/>
      <c r="H48" s="188"/>
      <c r="I48"/>
      <c r="J48"/>
    </row>
    <row r="49" spans="1:10">
      <c r="A49" s="208" t="s">
        <v>434</v>
      </c>
      <c r="B49"/>
      <c r="C49" s="188"/>
      <c r="D49" s="209"/>
      <c r="E49" s="188"/>
      <c r="F49" s="188"/>
      <c r="G49" s="188"/>
      <c r="H49" s="210">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f>
        <v>283.08800000000002</v>
      </c>
      <c r="I49"/>
      <c r="J49"/>
    </row>
    <row r="50" spans="1:10">
      <c r="A50" s="124" t="s">
        <v>503</v>
      </c>
      <c r="B50"/>
      <c r="C50" s="188"/>
      <c r="D50"/>
      <c r="E50"/>
      <c r="F50"/>
      <c r="G50"/>
      <c r="H50" s="211">
        <f>IF('Data Entry'!C64="X",(4914.71*0.05)+4914.71,4914.71)</f>
        <v>4914.71</v>
      </c>
      <c r="I50"/>
      <c r="J50"/>
    </row>
    <row r="51" spans="1:10">
      <c r="A51" s="202" t="s">
        <v>435</v>
      </c>
      <c r="B51"/>
      <c r="C51" s="206">
        <f>H49</f>
        <v>283.08800000000002</v>
      </c>
      <c r="D51" s="33" t="s">
        <v>135</v>
      </c>
      <c r="E51" s="212">
        <f>H50</f>
        <v>4914.71</v>
      </c>
      <c r="F51"/>
      <c r="G51"/>
      <c r="H51" s="213">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E51</f>
        <v>1391295.42</v>
      </c>
      <c r="I51"/>
      <c r="J51"/>
    </row>
    <row r="52" spans="1:10">
      <c r="A52" s="202"/>
      <c r="B52"/>
      <c r="C52" s="84"/>
      <c r="D52" s="33"/>
      <c r="E52" s="114"/>
      <c r="F52"/>
      <c r="G52"/>
      <c r="H52" s="214"/>
      <c r="I52"/>
      <c r="J52"/>
    </row>
    <row r="53" spans="1:10">
      <c r="A53" s="164" t="s">
        <v>436</v>
      </c>
      <c r="B53"/>
      <c r="C53"/>
      <c r="D53"/>
      <c r="E53"/>
      <c r="F53"/>
      <c r="G53"/>
      <c r="H53" s="101"/>
      <c r="I53"/>
      <c r="J53"/>
    </row>
    <row r="54" spans="1:10">
      <c r="A54" s="164" t="s">
        <v>412</v>
      </c>
      <c r="B54"/>
      <c r="C54"/>
      <c r="D54"/>
      <c r="E54"/>
      <c r="F54"/>
      <c r="G54"/>
      <c r="H54" s="213">
        <f>ROUND(NonFedAuditExp,0)</f>
        <v>10600</v>
      </c>
      <c r="I54"/>
      <c r="J54"/>
    </row>
    <row r="55" spans="1:10">
      <c r="A55" s="164" t="s">
        <v>463</v>
      </c>
      <c r="B55"/>
      <c r="C55"/>
      <c r="D55"/>
      <c r="E55"/>
      <c r="F55"/>
      <c r="G55"/>
      <c r="H55" s="213">
        <f>ROUND(RemoteTimeAdjustment,0)</f>
        <v>0</v>
      </c>
      <c r="I55"/>
      <c r="J55"/>
    </row>
    <row r="56" spans="1:10">
      <c r="A56" s="164"/>
      <c r="B56"/>
      <c r="C56"/>
      <c r="D56"/>
      <c r="E56"/>
      <c r="F56"/>
      <c r="G56"/>
      <c r="H56" s="213"/>
      <c r="I56"/>
      <c r="J56"/>
    </row>
    <row r="57" spans="1:10">
      <c r="A57"/>
      <c r="B57"/>
      <c r="C57"/>
      <c r="D57"/>
      <c r="E57"/>
      <c r="F57"/>
      <c r="G57"/>
      <c r="H57" s="41"/>
      <c r="I57"/>
      <c r="J57"/>
    </row>
    <row r="58" spans="1:10">
      <c r="A58" s="165" t="s">
        <v>413</v>
      </c>
      <c r="B58"/>
      <c r="C58" s="212">
        <f>H51</f>
        <v>1391295.42</v>
      </c>
      <c r="D58" s="33" t="s">
        <v>136</v>
      </c>
      <c r="E58" s="212">
        <f>H54+H55</f>
        <v>10600</v>
      </c>
      <c r="F58"/>
      <c r="G58"/>
      <c r="H58" s="213">
        <f>C58+E58</f>
        <v>1401895.42</v>
      </c>
      <c r="I58"/>
      <c r="J58"/>
    </row>
    <row r="59" spans="1:10">
      <c r="A59"/>
      <c r="B59"/>
      <c r="C59"/>
      <c r="D59"/>
      <c r="E59"/>
      <c r="F59"/>
      <c r="G59"/>
      <c r="H59"/>
      <c r="I59"/>
      <c r="J59"/>
    </row>
    <row r="60" spans="1:10" ht="11.25" customHeight="1">
      <c r="A60" s="451" t="str">
        <f>A3</f>
        <v>Legacy Education Group, Inc.</v>
      </c>
      <c r="B60" s="451"/>
      <c r="C60" s="451"/>
      <c r="D60" s="451"/>
      <c r="E60" s="451"/>
      <c r="F60" s="451"/>
      <c r="G60" s="451"/>
      <c r="H60" s="451"/>
      <c r="I60" s="451"/>
      <c r="J60" s="451"/>
    </row>
    <row r="61" spans="1:10" ht="12" customHeight="1">
      <c r="A61" s="451" t="s">
        <v>447</v>
      </c>
      <c r="B61" s="451"/>
      <c r="C61" s="451"/>
      <c r="D61" s="451"/>
      <c r="E61" s="451"/>
      <c r="F61" s="451"/>
      <c r="G61" s="451"/>
      <c r="H61" s="451"/>
      <c r="I61" s="451"/>
      <c r="J61" s="451"/>
    </row>
    <row r="62" spans="1:10">
      <c r="A62" s="451" t="s">
        <v>468</v>
      </c>
      <c r="B62" s="451"/>
      <c r="C62" s="451"/>
      <c r="D62" s="451"/>
      <c r="E62" s="451"/>
      <c r="F62" s="451"/>
      <c r="G62" s="451"/>
      <c r="H62" s="451"/>
      <c r="I62" s="451"/>
      <c r="J62" s="451"/>
    </row>
    <row r="63" spans="1:10" s="138" customFormat="1" ht="13.5" thickBot="1">
      <c r="A63" s="181"/>
      <c r="B63" s="181"/>
      <c r="C63" s="181"/>
      <c r="D63" s="181"/>
      <c r="E63" s="181"/>
      <c r="F63" s="181"/>
      <c r="G63" s="181"/>
      <c r="H63" s="181"/>
      <c r="I63" s="181"/>
      <c r="J63" s="182" t="s">
        <v>418</v>
      </c>
    </row>
    <row r="64" spans="1:10">
      <c r="A64"/>
      <c r="B64"/>
      <c r="C64"/>
      <c r="D64"/>
      <c r="E64"/>
      <c r="F64"/>
      <c r="G64"/>
      <c r="H64"/>
      <c r="I64"/>
      <c r="J64"/>
    </row>
    <row r="65" spans="1:10" ht="13.5" thickBot="1">
      <c r="A65" s="182" t="s">
        <v>419</v>
      </c>
      <c r="B65"/>
      <c r="C65" s="215" t="s">
        <v>129</v>
      </c>
      <c r="D65" s="181"/>
      <c r="E65" s="215" t="s">
        <v>130</v>
      </c>
      <c r="F65" s="181"/>
      <c r="G65" s="215" t="s">
        <v>131</v>
      </c>
      <c r="H65"/>
      <c r="I65"/>
      <c r="J65"/>
    </row>
    <row r="66" spans="1:10">
      <c r="A66" s="156" t="s">
        <v>438</v>
      </c>
      <c r="B66"/>
      <c r="C66" s="216">
        <f>SUM(B8:D8)</f>
        <v>0</v>
      </c>
      <c r="D66" s="188"/>
      <c r="E66" s="216">
        <f>SUM(B9:D9)</f>
        <v>0</v>
      </c>
      <c r="F66" s="188"/>
      <c r="G66" s="216">
        <f>SUM(B10:D10)</f>
        <v>150</v>
      </c>
      <c r="H66"/>
      <c r="I66"/>
      <c r="J66"/>
    </row>
    <row r="67" spans="1:10" ht="13.5" thickBot="1">
      <c r="A67" s="124" t="s">
        <v>439</v>
      </c>
      <c r="B67" s="33" t="s">
        <v>135</v>
      </c>
      <c r="C67" s="217">
        <v>2049.12</v>
      </c>
      <c r="D67" s="218" t="s">
        <v>135</v>
      </c>
      <c r="E67" s="217">
        <v>2049.12</v>
      </c>
      <c r="F67" s="218" t="s">
        <v>135</v>
      </c>
      <c r="G67" s="217">
        <v>2388.21</v>
      </c>
      <c r="H67"/>
      <c r="I67"/>
      <c r="J67"/>
    </row>
    <row r="68" spans="1:10" ht="12" customHeight="1">
      <c r="A68" s="124" t="s">
        <v>440</v>
      </c>
      <c r="B68" s="33" t="s">
        <v>134</v>
      </c>
      <c r="C68" s="212">
        <f>C66*C67</f>
        <v>0</v>
      </c>
      <c r="D68" s="33" t="s">
        <v>134</v>
      </c>
      <c r="E68" s="212">
        <f>E66*E67</f>
        <v>0</v>
      </c>
      <c r="F68" s="33" t="s">
        <v>134</v>
      </c>
      <c r="G68" s="212">
        <f>G66*G67</f>
        <v>358231.5</v>
      </c>
      <c r="H68"/>
      <c r="I68"/>
      <c r="J68"/>
    </row>
    <row r="69" spans="1:10">
      <c r="A69" s="124" t="s">
        <v>441</v>
      </c>
      <c r="B69"/>
      <c r="C69"/>
      <c r="D69"/>
      <c r="E69"/>
      <c r="F69"/>
      <c r="G69"/>
      <c r="H69" s="213">
        <f>(C66*C67)+(E66*E67)+(G66*G67)</f>
        <v>358231.5</v>
      </c>
      <c r="I69"/>
      <c r="J69"/>
    </row>
    <row r="70" spans="1:10">
      <c r="A70"/>
      <c r="B70"/>
      <c r="C70"/>
      <c r="D70"/>
      <c r="E70"/>
      <c r="F70"/>
      <c r="G70"/>
      <c r="H70" s="209"/>
      <c r="I70"/>
      <c r="J70"/>
    </row>
    <row r="71" spans="1:10">
      <c r="A71" s="202" t="s">
        <v>442</v>
      </c>
      <c r="B71"/>
      <c r="C71"/>
      <c r="D71"/>
      <c r="E71"/>
      <c r="F71"/>
      <c r="G71"/>
      <c r="H71" s="209"/>
      <c r="I71"/>
      <c r="J71"/>
    </row>
    <row r="72" spans="1:10">
      <c r="A72"/>
      <c r="B72"/>
      <c r="C72"/>
      <c r="D72"/>
      <c r="E72"/>
      <c r="F72"/>
      <c r="G72"/>
      <c r="H72" s="209"/>
      <c r="I72"/>
      <c r="J72"/>
    </row>
    <row r="73" spans="1:10">
      <c r="A73" s="101" t="s">
        <v>420</v>
      </c>
      <c r="B73"/>
      <c r="C73"/>
      <c r="D73"/>
      <c r="E73"/>
      <c r="F73"/>
      <c r="G73"/>
      <c r="H73" s="213">
        <f>C68+E68+G68</f>
        <v>358231.5</v>
      </c>
      <c r="I73"/>
      <c r="J73"/>
    </row>
    <row r="74" spans="1:10">
      <c r="A74"/>
      <c r="B74"/>
      <c r="C74"/>
      <c r="D74"/>
      <c r="E74"/>
      <c r="F74"/>
      <c r="G74"/>
      <c r="H74" s="209"/>
      <c r="I74"/>
      <c r="J74"/>
    </row>
    <row r="75" spans="1:10">
      <c r="A75" s="101" t="s">
        <v>421</v>
      </c>
      <c r="B75"/>
      <c r="C75"/>
      <c r="D75"/>
      <c r="E75"/>
      <c r="F75"/>
      <c r="G75"/>
      <c r="H75" s="209"/>
      <c r="I75"/>
      <c r="J75"/>
    </row>
    <row r="76" spans="1:10">
      <c r="A76" t="s">
        <v>422</v>
      </c>
      <c r="B76"/>
      <c r="C76" s="212">
        <f>H58</f>
        <v>1401895.42</v>
      </c>
      <c r="D76"/>
      <c r="E76"/>
      <c r="F76"/>
      <c r="G76"/>
      <c r="H76" s="209"/>
      <c r="I76"/>
      <c r="J76"/>
    </row>
    <row r="77" spans="1:10">
      <c r="A77" t="s">
        <v>423</v>
      </c>
      <c r="B77" s="33" t="s">
        <v>136</v>
      </c>
      <c r="C77" s="212">
        <f>H73</f>
        <v>358231.5</v>
      </c>
      <c r="D77"/>
      <c r="E77"/>
      <c r="F77"/>
      <c r="G77"/>
      <c r="H77" s="209"/>
      <c r="I77"/>
      <c r="J77"/>
    </row>
    <row r="78" spans="1:10">
      <c r="A78"/>
      <c r="B78" s="33" t="s">
        <v>134</v>
      </c>
      <c r="C78" s="212">
        <f>C76+C77</f>
        <v>1760126.92</v>
      </c>
      <c r="D78"/>
      <c r="E78"/>
      <c r="F78"/>
      <c r="G78"/>
      <c r="H78" s="209"/>
      <c r="I78"/>
      <c r="J78"/>
    </row>
    <row r="79" spans="1:10">
      <c r="A79" s="101" t="s">
        <v>424</v>
      </c>
      <c r="B79"/>
      <c r="C79"/>
      <c r="D79"/>
      <c r="E79"/>
      <c r="F79"/>
      <c r="G79"/>
      <c r="H79" s="213">
        <f>C78</f>
        <v>1760126.92</v>
      </c>
      <c r="I79"/>
      <c r="J79"/>
    </row>
    <row r="80" spans="1:10">
      <c r="A80"/>
      <c r="B80"/>
      <c r="C80"/>
      <c r="D80"/>
      <c r="E80"/>
      <c r="F80"/>
      <c r="G80"/>
      <c r="H80" s="209"/>
      <c r="I80"/>
      <c r="J80"/>
    </row>
    <row r="81" spans="1:10">
      <c r="A81"/>
      <c r="B81"/>
      <c r="C81"/>
      <c r="D81"/>
      <c r="E81"/>
      <c r="F81"/>
      <c r="G81"/>
      <c r="H81" s="209"/>
      <c r="I81"/>
      <c r="J81"/>
    </row>
    <row r="82" spans="1:10">
      <c r="A82"/>
      <c r="B82"/>
      <c r="C82"/>
      <c r="D82"/>
      <c r="E82"/>
      <c r="F82"/>
      <c r="G82"/>
      <c r="H82" s="213">
        <f>H79</f>
        <v>1760126.92</v>
      </c>
      <c r="I82"/>
      <c r="J82"/>
    </row>
    <row r="83" spans="1:10">
      <c r="A83"/>
      <c r="B83"/>
      <c r="C83"/>
      <c r="D83"/>
      <c r="E83"/>
      <c r="F83"/>
      <c r="G83"/>
      <c r="H83" s="42"/>
      <c r="I83"/>
      <c r="J83"/>
    </row>
    <row r="95" spans="1:10" ht="11.25" customHeight="1"/>
    <row r="96" spans="1:10" ht="42" customHeight="1"/>
    <row r="103" ht="42" customHeight="1"/>
    <row r="125" ht="42" customHeight="1"/>
    <row r="178" ht="30.75" customHeight="1"/>
  </sheetData>
  <sheetProtection sheet="1" formatCells="0" formatColumns="0" formatRows="0"/>
  <mergeCells count="12">
    <mergeCell ref="B1:C1"/>
    <mergeCell ref="E1:G1"/>
    <mergeCell ref="I1:J1"/>
    <mergeCell ref="A3:J3"/>
    <mergeCell ref="A4:J4"/>
    <mergeCell ref="A5:J5"/>
    <mergeCell ref="A62:J62"/>
    <mergeCell ref="A36:J36"/>
    <mergeCell ref="A37:J37"/>
    <mergeCell ref="A38:J38"/>
    <mergeCell ref="A60:J60"/>
    <mergeCell ref="A61:J61"/>
  </mergeCells>
  <pageMargins left="0.7" right="0.7" top="0.75" bottom="0.75" header="0.3" footer="0.3"/>
  <pageSetup scale="55" orientation="landscape" r:id="rId1"/>
  <headerFooter>
    <oddFooter>&amp;L&amp;"Arial,Bold"Rev. 5/23 Arizona Department of Education and Auditor General&amp;R&amp;"Arial,Bold"BSA55</oddFooter>
  </headerFooter>
  <rowBreaks count="2" manualBreakCount="2">
    <brk id="35" max="16383" man="1"/>
    <brk id="59"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32"/>
  <sheetViews>
    <sheetView showGridLines="0" workbookViewId="0">
      <pane ySplit="1" topLeftCell="A14" activePane="bottomLeft" state="frozen"/>
      <selection activeCell="D12" sqref="D12:H12"/>
      <selection pane="bottomLeft" activeCell="C17" sqref="C17"/>
    </sheetView>
  </sheetViews>
  <sheetFormatPr defaultColWidth="9.140625" defaultRowHeight="12.75"/>
  <cols>
    <col min="1" max="1" width="13" style="139" customWidth="1"/>
    <col min="2" max="2" width="23.140625" style="140" customWidth="1"/>
    <col min="3" max="3" width="88.5703125" style="164" customWidth="1"/>
    <col min="4" max="4" width="26.140625" style="156" customWidth="1"/>
  </cols>
  <sheetData>
    <row r="1" spans="1:6" ht="51.75" customHeight="1">
      <c r="A1" s="169" t="s">
        <v>84</v>
      </c>
      <c r="B1" s="169" t="s">
        <v>85</v>
      </c>
      <c r="C1" s="170" t="s">
        <v>92</v>
      </c>
      <c r="D1" s="169" t="s">
        <v>383</v>
      </c>
    </row>
    <row r="2" spans="1:6" ht="234.75" customHeight="1">
      <c r="A2" s="171" t="s">
        <v>87</v>
      </c>
      <c r="B2" s="140" t="s">
        <v>86</v>
      </c>
      <c r="C2" s="124" t="s">
        <v>504</v>
      </c>
      <c r="D2" s="124"/>
      <c r="F2" s="164"/>
    </row>
    <row r="3" spans="1:6" ht="44.25" customHeight="1">
      <c r="A3" s="171" t="s">
        <v>87</v>
      </c>
      <c r="B3" s="140" t="s">
        <v>220</v>
      </c>
      <c r="C3" s="124" t="s">
        <v>95</v>
      </c>
    </row>
    <row r="4" spans="1:6" ht="97.5" customHeight="1">
      <c r="A4" s="171" t="s">
        <v>87</v>
      </c>
      <c r="B4" s="140" t="s">
        <v>38</v>
      </c>
      <c r="C4" s="124" t="s">
        <v>282</v>
      </c>
    </row>
    <row r="5" spans="1:6" ht="37.5" customHeight="1">
      <c r="A5" s="171" t="s">
        <v>87</v>
      </c>
      <c r="B5" s="140" t="s">
        <v>283</v>
      </c>
      <c r="C5" s="124" t="s">
        <v>505</v>
      </c>
    </row>
    <row r="6" spans="1:6" ht="112.5" customHeight="1">
      <c r="A6" s="171" t="s">
        <v>87</v>
      </c>
      <c r="B6" s="140" t="s">
        <v>195</v>
      </c>
      <c r="C6" s="124" t="s">
        <v>284</v>
      </c>
    </row>
    <row r="7" spans="1:6" ht="36" customHeight="1">
      <c r="A7" s="172" t="s">
        <v>285</v>
      </c>
      <c r="B7" s="140" t="s">
        <v>285</v>
      </c>
      <c r="C7" s="124" t="s">
        <v>127</v>
      </c>
    </row>
    <row r="8" spans="1:6" ht="168" customHeight="1">
      <c r="A8" s="171">
        <v>1</v>
      </c>
      <c r="B8" s="140" t="s">
        <v>86</v>
      </c>
      <c r="C8" s="156" t="s">
        <v>394</v>
      </c>
      <c r="D8" s="173"/>
    </row>
    <row r="9" spans="1:6" ht="87.75" customHeight="1">
      <c r="A9" s="171">
        <v>1</v>
      </c>
      <c r="B9" s="140" t="s">
        <v>91</v>
      </c>
      <c r="C9" s="124" t="s">
        <v>211</v>
      </c>
    </row>
    <row r="10" spans="1:6" ht="17.25" customHeight="1">
      <c r="A10" s="171"/>
      <c r="C10" s="174" t="s">
        <v>106</v>
      </c>
    </row>
    <row r="11" spans="1:6" ht="49.5" customHeight="1">
      <c r="A11" s="171">
        <v>1</v>
      </c>
      <c r="B11" s="140" t="s">
        <v>350</v>
      </c>
      <c r="C11" s="124" t="s">
        <v>379</v>
      </c>
    </row>
    <row r="12" spans="1:6" ht="47.25" customHeight="1">
      <c r="A12" s="171">
        <v>1</v>
      </c>
      <c r="B12" s="140" t="s">
        <v>286</v>
      </c>
      <c r="C12" s="175" t="s">
        <v>506</v>
      </c>
      <c r="D12" s="156" t="s">
        <v>384</v>
      </c>
    </row>
    <row r="13" spans="1:6" ht="141" customHeight="1">
      <c r="A13" s="171">
        <v>2</v>
      </c>
      <c r="B13" s="140" t="s">
        <v>186</v>
      </c>
      <c r="C13" s="156" t="s">
        <v>507</v>
      </c>
      <c r="D13" s="176"/>
    </row>
    <row r="14" spans="1:6" ht="133.5" customHeight="1">
      <c r="A14" s="171">
        <v>2</v>
      </c>
      <c r="B14" s="140" t="s">
        <v>103</v>
      </c>
      <c r="C14" s="124" t="s">
        <v>401</v>
      </c>
    </row>
    <row r="15" spans="1:6" ht="127.5" customHeight="1">
      <c r="A15" s="171">
        <v>2</v>
      </c>
      <c r="B15" s="140" t="s">
        <v>375</v>
      </c>
      <c r="C15" s="156" t="s">
        <v>395</v>
      </c>
    </row>
    <row r="16" spans="1:6" ht="127.5" customHeight="1">
      <c r="A16" s="177">
        <v>2</v>
      </c>
      <c r="B16" s="178" t="s">
        <v>511</v>
      </c>
      <c r="C16" s="175" t="s">
        <v>512</v>
      </c>
      <c r="D16" s="175" t="s">
        <v>513</v>
      </c>
    </row>
    <row r="17" spans="1:4" ht="99.75" customHeight="1">
      <c r="A17" s="171">
        <v>2</v>
      </c>
      <c r="B17" s="140" t="s">
        <v>209</v>
      </c>
      <c r="C17" s="156" t="s">
        <v>400</v>
      </c>
      <c r="D17" s="176"/>
    </row>
    <row r="18" spans="1:4" ht="66" customHeight="1">
      <c r="A18" s="171">
        <v>2</v>
      </c>
      <c r="B18" s="140" t="s">
        <v>187</v>
      </c>
      <c r="C18" s="124" t="s">
        <v>396</v>
      </c>
    </row>
    <row r="19" spans="1:4" ht="49.5" customHeight="1">
      <c r="A19" s="171">
        <v>2</v>
      </c>
      <c r="B19" s="140" t="s">
        <v>287</v>
      </c>
      <c r="C19" s="124" t="s">
        <v>99</v>
      </c>
    </row>
    <row r="20" spans="1:4" ht="54" customHeight="1">
      <c r="A20" s="171">
        <v>2</v>
      </c>
      <c r="B20" s="140" t="s">
        <v>365</v>
      </c>
      <c r="C20" s="156" t="s">
        <v>373</v>
      </c>
      <c r="D20" s="176"/>
    </row>
    <row r="21" spans="1:4" ht="75" customHeight="1">
      <c r="A21" s="171">
        <v>2</v>
      </c>
      <c r="B21" s="140" t="s">
        <v>189</v>
      </c>
      <c r="C21" s="124" t="s">
        <v>380</v>
      </c>
    </row>
    <row r="22" spans="1:4" ht="116.25" customHeight="1">
      <c r="A22" s="171">
        <v>2</v>
      </c>
      <c r="B22" s="140" t="s">
        <v>351</v>
      </c>
      <c r="C22" s="124" t="s">
        <v>508</v>
      </c>
    </row>
    <row r="23" spans="1:4" ht="59.25" customHeight="1">
      <c r="A23" s="171">
        <v>2</v>
      </c>
      <c r="B23" s="140" t="s">
        <v>88</v>
      </c>
      <c r="C23" s="124" t="s">
        <v>288</v>
      </c>
    </row>
    <row r="24" spans="1:4" ht="48" customHeight="1">
      <c r="A24" s="171">
        <v>2</v>
      </c>
      <c r="B24" s="140" t="s">
        <v>289</v>
      </c>
      <c r="C24" s="124" t="s">
        <v>352</v>
      </c>
    </row>
    <row r="25" spans="1:4" ht="63" customHeight="1">
      <c r="A25" s="171">
        <v>2</v>
      </c>
      <c r="B25" s="140" t="s">
        <v>359</v>
      </c>
      <c r="C25" s="156" t="s">
        <v>469</v>
      </c>
      <c r="D25" s="176"/>
    </row>
    <row r="26" spans="1:4" ht="61.5" customHeight="1">
      <c r="A26" s="171">
        <v>2</v>
      </c>
      <c r="B26" s="140" t="s">
        <v>371</v>
      </c>
      <c r="C26" s="156" t="s">
        <v>372</v>
      </c>
      <c r="D26" s="176"/>
    </row>
    <row r="27" spans="1:4" ht="89.25">
      <c r="A27" s="171">
        <v>3</v>
      </c>
      <c r="B27" s="140" t="s">
        <v>90</v>
      </c>
      <c r="C27" s="175" t="s">
        <v>509</v>
      </c>
      <c r="D27" s="179" t="s">
        <v>510</v>
      </c>
    </row>
    <row r="28" spans="1:4" ht="102" customHeight="1">
      <c r="A28" s="171">
        <v>3</v>
      </c>
      <c r="B28" s="140" t="s">
        <v>90</v>
      </c>
      <c r="C28" s="156" t="s">
        <v>515</v>
      </c>
    </row>
    <row r="29" spans="1:4" ht="79.5" customHeight="1">
      <c r="A29" s="171">
        <v>3</v>
      </c>
      <c r="B29" s="140" t="s">
        <v>397</v>
      </c>
      <c r="C29" s="156" t="s">
        <v>458</v>
      </c>
    </row>
    <row r="30" spans="1:4" ht="63.75" customHeight="1">
      <c r="A30" s="171">
        <v>4</v>
      </c>
      <c r="B30" s="140" t="s">
        <v>177</v>
      </c>
      <c r="C30" s="156" t="s">
        <v>353</v>
      </c>
    </row>
    <row r="31" spans="1:4" ht="66" customHeight="1">
      <c r="A31" s="171">
        <v>4</v>
      </c>
      <c r="B31" s="140" t="s">
        <v>89</v>
      </c>
      <c r="C31" s="156" t="s">
        <v>354</v>
      </c>
    </row>
    <row r="32" spans="1:4" ht="45" customHeight="1">
      <c r="A32" s="172" t="s">
        <v>290</v>
      </c>
      <c r="B32" s="140" t="s">
        <v>86</v>
      </c>
      <c r="C32" s="124" t="s">
        <v>93</v>
      </c>
    </row>
  </sheetData>
  <sheetProtection sheet="1" objects="1" scenarios="1"/>
  <hyperlinks>
    <hyperlink ref="A2" location="Cover!A1" display="Cover" xr:uid="{00000000-0004-0000-0A00-000000000000}"/>
    <hyperlink ref="A4" location="Cover!A1" display="Cover" xr:uid="{00000000-0004-0000-0A00-000001000000}"/>
    <hyperlink ref="A8" location="'Page 1'!A1" display="'Page 1'!A1" xr:uid="{00000000-0004-0000-0A00-000002000000}"/>
    <hyperlink ref="A11" location="'Page 1'!A1" display="'Page 1'!A1" xr:uid="{00000000-0004-0000-0A00-000003000000}"/>
    <hyperlink ref="A13" location="'Page 2'!A1" display="'Page 2'!A1" xr:uid="{00000000-0004-0000-0A00-000004000000}"/>
    <hyperlink ref="A17" location="'Page 2'!A1" display="'Page 2'!A1" xr:uid="{00000000-0004-0000-0A00-000005000000}"/>
    <hyperlink ref="A22" location="'Page 2'!A1" display="'Page 2'!A1" xr:uid="{00000000-0004-0000-0A00-000006000000}"/>
    <hyperlink ref="A27" location="'Page 3'!A1" display="'Page 3'!A1" xr:uid="{00000000-0004-0000-0A00-000007000000}"/>
    <hyperlink ref="A30" location="'Page 4'!A1" display="'Page 4'!A1" xr:uid="{00000000-0004-0000-0A00-000008000000}"/>
    <hyperlink ref="A31" location="'Page 4'!A1" display="'Page 4'!A1" xr:uid="{00000000-0004-0000-0A00-000009000000}"/>
    <hyperlink ref="A9" location="'Page 1'!A1" display="'Page 1'!A1" xr:uid="{00000000-0004-0000-0A00-00000A000000}"/>
    <hyperlink ref="A12" location="'Page 1'!A1" display="'Page 1'!A1" xr:uid="{00000000-0004-0000-0A00-00000B000000}"/>
    <hyperlink ref="A18" location="'Page 2'!A1" display="'Page 2'!A1" xr:uid="{00000000-0004-0000-0A00-00000C000000}"/>
    <hyperlink ref="A21" location="'Page 2'!A1" display="'Page 2'!A1" xr:uid="{00000000-0004-0000-0A00-00000D000000}"/>
    <hyperlink ref="A5" location="Cover!A1" display="Cover" xr:uid="{00000000-0004-0000-0A00-00000E000000}"/>
    <hyperlink ref="A3" location="Cover!A1" display="Cover" xr:uid="{00000000-0004-0000-0A00-00000F000000}"/>
    <hyperlink ref="A32" location="'Budget Summary'!A1" display="Budget Summary" xr:uid="{00000000-0004-0000-0A00-000010000000}"/>
    <hyperlink ref="A23" location="'Page 2'!A1" display="'Page 2'!A1" xr:uid="{00000000-0004-0000-0A00-000011000000}"/>
    <hyperlink ref="A24" location="'Page 2'!A1" display="'Page 2'!A1" xr:uid="{00000000-0004-0000-0A00-000012000000}"/>
    <hyperlink ref="A19" location="'Page 2'!A1" display="'Page 2'!A1" xr:uid="{00000000-0004-0000-0A00-000013000000}"/>
    <hyperlink ref="A14" location="'Page 2'!A1" display="'Page 2'!A1" xr:uid="{00000000-0004-0000-0A00-000014000000}"/>
    <hyperlink ref="C10" r:id="rId1" xr:uid="{00000000-0004-0000-0A00-000015000000}"/>
    <hyperlink ref="A6" location="Cover!A1" display="Cover" xr:uid="{00000000-0004-0000-0A00-000016000000}"/>
    <hyperlink ref="A7" location="'Charter Contacts'!A1" display="Charter contact info" xr:uid="{00000000-0004-0000-0A00-000017000000}"/>
    <hyperlink ref="A15" location="'Page 2'!A1" display="'Page 2'!A1" xr:uid="{00000000-0004-0000-0A00-000018000000}"/>
    <hyperlink ref="A28" location="'Page 3'!A1" display="'Page 3'!A1" xr:uid="{00000000-0004-0000-0A00-000019000000}"/>
    <hyperlink ref="A25" location="'Page 2'!A1" display="'Page 2'!A1" xr:uid="{00000000-0004-0000-0A00-00001A000000}"/>
    <hyperlink ref="A26" location="'Page 2'!A1" display="'Page 2'!A1" xr:uid="{00000000-0004-0000-0A00-00001B000000}"/>
    <hyperlink ref="A20" location="'Page 2'!A1" display="'Page 2'!A1" xr:uid="{00000000-0004-0000-0A00-00001C000000}"/>
    <hyperlink ref="A29" location="'Page 3'!A1" display="'Page 3'!A1" xr:uid="{00000000-0004-0000-0A00-00001D000000}"/>
    <hyperlink ref="A16" location="'Page 2'!A1" display="'Page 2'!A1" xr:uid="{00000000-0004-0000-0A00-00001E000000}"/>
  </hyperlinks>
  <pageMargins left="0.7" right="0.7" top="0.75" bottom="0.75" header="0.3" footer="0.3"/>
  <pageSetup scale="97" orientation="landscape" r:id="rId2"/>
  <headerFooter scaleWithDoc="0">
    <oddFooter>&amp;L&amp;"Arial,Bold"Rev. 5/23 Arizona Department of Education and Auditor General&amp;R&amp;"Arial,Bold"Instructions</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A55"/>
  <sheetViews>
    <sheetView showGridLines="0" tabSelected="1" workbookViewId="0">
      <selection activeCell="G23" sqref="G23"/>
    </sheetView>
  </sheetViews>
  <sheetFormatPr defaultColWidth="9.140625" defaultRowHeight="12.75"/>
  <cols>
    <col min="1" max="1" width="19" customWidth="1"/>
    <col min="2" max="2" width="26.140625" customWidth="1"/>
    <col min="3" max="3" width="9.5703125" customWidth="1"/>
    <col min="4" max="4" width="24.42578125" customWidth="1"/>
    <col min="5" max="5" width="16" customWidth="1"/>
    <col min="6" max="6" width="12.140625" customWidth="1"/>
    <col min="7" max="7" width="41.5703125" customWidth="1"/>
    <col min="8" max="8" width="17.5703125" customWidth="1"/>
    <col min="9" max="9" width="11" customWidth="1"/>
    <col min="10" max="25" width="9.140625" customWidth="1"/>
    <col min="26" max="26" width="9" style="220" customWidth="1"/>
  </cols>
  <sheetData>
    <row r="1" spans="1:27">
      <c r="A1" t="s">
        <v>181</v>
      </c>
      <c r="B1" s="486" t="str">
        <f>CharterName</f>
        <v>Legacy Education Group, Inc.</v>
      </c>
      <c r="C1" s="486"/>
      <c r="E1" s="113" t="s">
        <v>185</v>
      </c>
      <c r="F1" s="219" t="str">
        <f>Cover!M1</f>
        <v>Maricopa</v>
      </c>
      <c r="G1" s="33" t="s">
        <v>220</v>
      </c>
      <c r="H1" s="35" t="str">
        <f>CTD</f>
        <v>078507000</v>
      </c>
      <c r="Y1" s="166"/>
    </row>
    <row r="2" spans="1:27">
      <c r="B2" s="221"/>
      <c r="C2" s="221"/>
      <c r="E2" s="33"/>
      <c r="F2" s="160"/>
      <c r="G2" s="33"/>
      <c r="H2" s="42"/>
      <c r="Y2" s="166"/>
    </row>
    <row r="3" spans="1:27">
      <c r="B3" s="221"/>
      <c r="C3" s="221"/>
      <c r="E3" s="33"/>
      <c r="F3" s="160"/>
      <c r="G3" s="33"/>
      <c r="H3" s="42"/>
      <c r="Y3" s="166"/>
    </row>
    <row r="4" spans="1:27">
      <c r="B4" s="221"/>
      <c r="C4" s="487" t="s">
        <v>184</v>
      </c>
      <c r="D4" s="487"/>
      <c r="E4" s="487"/>
      <c r="F4" s="487"/>
      <c r="G4" s="487"/>
      <c r="H4" s="487"/>
      <c r="Y4" s="166"/>
    </row>
    <row r="5" spans="1:27">
      <c r="Y5" s="166"/>
      <c r="Z5" s="220" t="s">
        <v>118</v>
      </c>
    </row>
    <row r="6" spans="1:27">
      <c r="C6" s="116" t="s">
        <v>113</v>
      </c>
      <c r="D6" s="116" t="s">
        <v>221</v>
      </c>
      <c r="E6" s="488" t="s">
        <v>222</v>
      </c>
      <c r="F6" s="489"/>
      <c r="G6" s="116" t="s">
        <v>223</v>
      </c>
      <c r="H6" s="116" t="s">
        <v>224</v>
      </c>
      <c r="I6" s="116" t="s">
        <v>196</v>
      </c>
      <c r="Y6" s="166"/>
      <c r="Z6" s="220" t="s">
        <v>115</v>
      </c>
      <c r="AA6" s="222"/>
    </row>
    <row r="7" spans="1:27">
      <c r="A7" s="484" t="s">
        <v>109</v>
      </c>
      <c r="B7" s="485"/>
      <c r="C7" s="431" t="s">
        <v>116</v>
      </c>
      <c r="D7" s="431" t="s">
        <v>524</v>
      </c>
      <c r="E7" s="472" t="s">
        <v>525</v>
      </c>
      <c r="F7" s="473"/>
      <c r="G7" s="432" t="s">
        <v>518</v>
      </c>
      <c r="H7" s="431" t="s">
        <v>526</v>
      </c>
      <c r="I7" s="431"/>
      <c r="Y7" s="166"/>
      <c r="Z7" s="220" t="s">
        <v>114</v>
      </c>
      <c r="AA7" s="222"/>
    </row>
    <row r="8" spans="1:27">
      <c r="A8" s="484" t="s">
        <v>109</v>
      </c>
      <c r="B8" s="485"/>
      <c r="C8" s="431" t="s">
        <v>116</v>
      </c>
      <c r="D8" s="431" t="s">
        <v>524</v>
      </c>
      <c r="E8" s="472" t="s">
        <v>525</v>
      </c>
      <c r="F8" s="473"/>
      <c r="G8" s="432" t="s">
        <v>518</v>
      </c>
      <c r="H8" s="431" t="s">
        <v>526</v>
      </c>
      <c r="I8" s="431"/>
      <c r="Y8" s="166"/>
      <c r="Z8" s="220" t="s">
        <v>116</v>
      </c>
      <c r="AA8" s="222"/>
    </row>
    <row r="9" spans="1:27">
      <c r="A9" s="484" t="s">
        <v>110</v>
      </c>
      <c r="B9" s="485"/>
      <c r="C9" s="431"/>
      <c r="D9" s="431"/>
      <c r="E9" s="470"/>
      <c r="F9" s="471"/>
      <c r="G9" s="432"/>
      <c r="H9" s="431" t="s">
        <v>526</v>
      </c>
      <c r="I9" s="431"/>
      <c r="Y9" s="166"/>
      <c r="Z9" s="226" t="s">
        <v>117</v>
      </c>
      <c r="AA9" s="222"/>
    </row>
    <row r="10" spans="1:27">
      <c r="A10" s="484" t="s">
        <v>108</v>
      </c>
      <c r="B10" s="485"/>
      <c r="C10" s="431" t="s">
        <v>116</v>
      </c>
      <c r="D10" s="431" t="s">
        <v>527</v>
      </c>
      <c r="E10" s="470" t="s">
        <v>528</v>
      </c>
      <c r="F10" s="471"/>
      <c r="G10" s="432" t="s">
        <v>529</v>
      </c>
      <c r="H10" s="431" t="s">
        <v>530</v>
      </c>
      <c r="I10" s="431"/>
      <c r="Y10" s="166"/>
      <c r="AA10" s="222"/>
    </row>
    <row r="11" spans="1:27">
      <c r="A11" s="223" t="s">
        <v>199</v>
      </c>
      <c r="B11" s="224"/>
      <c r="C11" s="431" t="s">
        <v>116</v>
      </c>
      <c r="D11" s="431" t="s">
        <v>527</v>
      </c>
      <c r="E11" s="470" t="s">
        <v>528</v>
      </c>
      <c r="F11" s="471"/>
      <c r="G11" s="432" t="s">
        <v>529</v>
      </c>
      <c r="H11" s="431" t="s">
        <v>530</v>
      </c>
      <c r="I11" s="431"/>
      <c r="Y11" s="166"/>
      <c r="Z11" s="220" t="s">
        <v>203</v>
      </c>
      <c r="AA11" s="222"/>
    </row>
    <row r="12" spans="1:27">
      <c r="A12" s="484" t="s">
        <v>107</v>
      </c>
      <c r="B12" s="485"/>
      <c r="C12" s="431"/>
      <c r="D12" s="431"/>
      <c r="E12" s="470"/>
      <c r="F12" s="471"/>
      <c r="G12" s="432"/>
      <c r="H12" s="431"/>
      <c r="I12" s="431"/>
      <c r="Y12" s="166"/>
      <c r="Z12" s="220" t="s">
        <v>204</v>
      </c>
      <c r="AA12" s="222"/>
    </row>
    <row r="13" spans="1:27">
      <c r="A13" s="484" t="s">
        <v>112</v>
      </c>
      <c r="B13" s="485"/>
      <c r="C13" s="431"/>
      <c r="D13" s="431"/>
      <c r="E13" s="470"/>
      <c r="F13" s="471"/>
      <c r="G13" s="432"/>
      <c r="H13" s="431"/>
      <c r="I13" s="431"/>
      <c r="Y13" s="166"/>
      <c r="AA13" s="222"/>
    </row>
    <row r="14" spans="1:27">
      <c r="A14" s="223" t="s">
        <v>197</v>
      </c>
      <c r="B14" s="224"/>
      <c r="C14" s="431"/>
      <c r="D14" s="431"/>
      <c r="E14" s="470"/>
      <c r="F14" s="471"/>
      <c r="G14" s="432"/>
      <c r="H14" s="431"/>
      <c r="I14" s="431"/>
      <c r="Y14" s="166"/>
      <c r="AA14" s="222"/>
    </row>
    <row r="15" spans="1:27">
      <c r="A15" s="223" t="s">
        <v>208</v>
      </c>
      <c r="B15" s="224"/>
      <c r="C15" s="431"/>
      <c r="D15" s="431"/>
      <c r="E15" s="470"/>
      <c r="F15" s="471"/>
      <c r="G15" s="432"/>
      <c r="H15" s="431"/>
      <c r="I15" s="431"/>
      <c r="Y15" s="166"/>
      <c r="AA15" s="222"/>
    </row>
    <row r="16" spans="1:27">
      <c r="A16" s="223" t="s">
        <v>198</v>
      </c>
      <c r="B16" s="224"/>
      <c r="C16" s="431"/>
      <c r="D16" s="431"/>
      <c r="E16" s="470"/>
      <c r="F16" s="471"/>
      <c r="G16" s="432"/>
      <c r="H16" s="431"/>
      <c r="I16" s="431"/>
      <c r="Y16" s="166"/>
      <c r="AA16" s="222"/>
    </row>
    <row r="17" spans="1:27">
      <c r="A17" s="223" t="s">
        <v>201</v>
      </c>
      <c r="B17" s="224"/>
      <c r="C17" s="431"/>
      <c r="D17" s="431"/>
      <c r="E17" s="470"/>
      <c r="F17" s="471"/>
      <c r="G17" s="432"/>
      <c r="H17" s="431"/>
      <c r="I17" s="431"/>
      <c r="Y17" s="166"/>
      <c r="AA17" s="222"/>
    </row>
    <row r="18" spans="1:27">
      <c r="A18" s="484" t="s">
        <v>111</v>
      </c>
      <c r="B18" s="485"/>
      <c r="C18" s="431" t="s">
        <v>116</v>
      </c>
      <c r="D18" s="431" t="s">
        <v>524</v>
      </c>
      <c r="E18" s="470" t="s">
        <v>525</v>
      </c>
      <c r="F18" s="471"/>
      <c r="G18" s="432" t="s">
        <v>518</v>
      </c>
      <c r="H18" s="431" t="s">
        <v>526</v>
      </c>
      <c r="I18" s="431"/>
      <c r="Y18" s="166"/>
      <c r="AA18" s="222"/>
    </row>
    <row r="19" spans="1:27">
      <c r="A19" s="484" t="s">
        <v>111</v>
      </c>
      <c r="B19" s="485"/>
      <c r="C19" s="431" t="s">
        <v>531</v>
      </c>
      <c r="D19" s="431" t="s">
        <v>532</v>
      </c>
      <c r="E19" s="470" t="s">
        <v>533</v>
      </c>
      <c r="F19" s="471"/>
      <c r="G19" s="432" t="s">
        <v>534</v>
      </c>
      <c r="H19" s="431" t="s">
        <v>526</v>
      </c>
      <c r="I19" s="431"/>
      <c r="Y19" s="166"/>
      <c r="AA19" s="222"/>
    </row>
    <row r="20" spans="1:27">
      <c r="A20" s="484" t="s">
        <v>111</v>
      </c>
      <c r="B20" s="485"/>
      <c r="C20" s="431" t="s">
        <v>535</v>
      </c>
      <c r="D20" s="431" t="s">
        <v>536</v>
      </c>
      <c r="E20" s="470" t="s">
        <v>537</v>
      </c>
      <c r="F20" s="471"/>
      <c r="G20" s="583" t="s">
        <v>538</v>
      </c>
      <c r="H20" s="431" t="s">
        <v>526</v>
      </c>
      <c r="I20" s="431"/>
      <c r="Y20" s="166"/>
      <c r="AA20" s="222"/>
    </row>
    <row r="21" spans="1:27">
      <c r="A21" s="484" t="s">
        <v>111</v>
      </c>
      <c r="B21" s="485"/>
      <c r="C21" s="431" t="s">
        <v>531</v>
      </c>
      <c r="D21" s="431" t="s">
        <v>539</v>
      </c>
      <c r="E21" s="470" t="s">
        <v>525</v>
      </c>
      <c r="F21" s="471"/>
      <c r="G21" s="432" t="s">
        <v>540</v>
      </c>
      <c r="H21" s="431" t="s">
        <v>526</v>
      </c>
      <c r="I21" s="431"/>
      <c r="Y21" s="166"/>
      <c r="AA21" s="222"/>
    </row>
    <row r="22" spans="1:27">
      <c r="A22" s="484" t="s">
        <v>111</v>
      </c>
      <c r="B22" s="485"/>
      <c r="C22" s="431" t="s">
        <v>531</v>
      </c>
      <c r="D22" s="431" t="s">
        <v>541</v>
      </c>
      <c r="E22" s="470" t="s">
        <v>542</v>
      </c>
      <c r="F22" s="471"/>
      <c r="G22" s="432" t="s">
        <v>543</v>
      </c>
      <c r="H22" s="431" t="s">
        <v>526</v>
      </c>
      <c r="I22" s="431"/>
      <c r="Y22" s="166"/>
      <c r="AA22" s="222"/>
    </row>
    <row r="23" spans="1:27">
      <c r="A23" s="484" t="s">
        <v>111</v>
      </c>
      <c r="B23" s="485"/>
      <c r="C23" s="431" t="s">
        <v>114</v>
      </c>
      <c r="D23" s="431" t="s">
        <v>544</v>
      </c>
      <c r="E23" s="470" t="s">
        <v>545</v>
      </c>
      <c r="F23" s="471"/>
      <c r="G23" s="432" t="s">
        <v>546</v>
      </c>
      <c r="H23" s="431" t="s">
        <v>526</v>
      </c>
      <c r="I23" s="431"/>
      <c r="Y23" s="166"/>
      <c r="AA23" s="222"/>
    </row>
    <row r="24" spans="1:27">
      <c r="A24" s="484" t="s">
        <v>111</v>
      </c>
      <c r="B24" s="485"/>
      <c r="C24" s="431"/>
      <c r="D24" s="431"/>
      <c r="E24" s="470"/>
      <c r="F24" s="471"/>
      <c r="G24" s="432"/>
      <c r="H24" s="431"/>
      <c r="I24" s="431"/>
      <c r="Y24" s="166"/>
      <c r="AA24" s="222"/>
    </row>
    <row r="25" spans="1:27">
      <c r="A25" s="484" t="s">
        <v>111</v>
      </c>
      <c r="B25" s="485"/>
      <c r="C25" s="431"/>
      <c r="D25" s="431"/>
      <c r="E25" s="470"/>
      <c r="F25" s="471"/>
      <c r="G25" s="432"/>
      <c r="H25" s="431"/>
      <c r="I25" s="431"/>
      <c r="Y25" s="166"/>
      <c r="AA25" s="222"/>
    </row>
    <row r="26" spans="1:27">
      <c r="A26" s="484" t="s">
        <v>111</v>
      </c>
      <c r="B26" s="485"/>
      <c r="C26" s="431"/>
      <c r="D26" s="431"/>
      <c r="E26" s="470"/>
      <c r="F26" s="471"/>
      <c r="G26" s="432"/>
      <c r="H26" s="431"/>
      <c r="I26" s="431"/>
      <c r="Y26" s="166"/>
      <c r="AA26" s="222"/>
    </row>
    <row r="27" spans="1:27">
      <c r="Y27" s="166"/>
      <c r="Z27" s="226" t="s">
        <v>119</v>
      </c>
      <c r="AA27" s="222"/>
    </row>
    <row r="28" spans="1:27">
      <c r="C28" s="477" t="s">
        <v>207</v>
      </c>
      <c r="D28" s="477"/>
      <c r="Y28" s="166"/>
      <c r="Z28" s="226" t="s">
        <v>120</v>
      </c>
      <c r="AA28" s="222"/>
    </row>
    <row r="29" spans="1:27">
      <c r="A29" s="484" t="s">
        <v>126</v>
      </c>
      <c r="B29" s="485"/>
      <c r="C29" s="478" t="s">
        <v>385</v>
      </c>
      <c r="D29" s="479"/>
      <c r="Y29" s="166"/>
      <c r="Z29" s="220" t="s">
        <v>378</v>
      </c>
      <c r="AA29" s="222"/>
    </row>
    <row r="30" spans="1:27">
      <c r="Y30" s="166"/>
      <c r="Z30" s="220" t="s">
        <v>293</v>
      </c>
      <c r="AA30" s="222"/>
    </row>
    <row r="31" spans="1:27" ht="12.75" customHeight="1">
      <c r="A31" t="s">
        <v>200</v>
      </c>
      <c r="C31" s="472" t="s">
        <v>548</v>
      </c>
      <c r="D31" s="476"/>
      <c r="F31" s="132"/>
      <c r="G31" s="132"/>
      <c r="Y31" s="166"/>
      <c r="Z31" s="226" t="s">
        <v>121</v>
      </c>
      <c r="AA31" s="222"/>
    </row>
    <row r="32" spans="1:27">
      <c r="F32" s="132"/>
      <c r="G32" s="132"/>
      <c r="Y32" s="166"/>
      <c r="Z32" s="226" t="s">
        <v>122</v>
      </c>
      <c r="AA32" s="222"/>
    </row>
    <row r="33" spans="1:27">
      <c r="A33" s="491" t="s">
        <v>202</v>
      </c>
      <c r="B33" s="491"/>
      <c r="C33" s="480" t="s">
        <v>203</v>
      </c>
      <c r="D33" s="481"/>
      <c r="F33" s="132"/>
      <c r="G33" s="132"/>
      <c r="Y33" s="166"/>
      <c r="Z33" s="220" t="s">
        <v>357</v>
      </c>
      <c r="AA33" s="222"/>
    </row>
    <row r="34" spans="1:27">
      <c r="A34" s="491"/>
      <c r="B34" s="491"/>
      <c r="C34" s="482"/>
      <c r="D34" s="483"/>
      <c r="Y34" s="166"/>
      <c r="Z34" s="220" t="s">
        <v>356</v>
      </c>
      <c r="AA34" s="222"/>
    </row>
    <row r="35" spans="1:27">
      <c r="Y35" s="166"/>
      <c r="Z35" s="220" t="s">
        <v>358</v>
      </c>
      <c r="AA35" s="222"/>
    </row>
    <row r="36" spans="1:27">
      <c r="A36" s="449" t="s">
        <v>164</v>
      </c>
      <c r="B36" s="492"/>
      <c r="C36" s="474" t="s">
        <v>547</v>
      </c>
      <c r="D36" s="475"/>
      <c r="Y36" s="166"/>
      <c r="Z36" s="226" t="s">
        <v>355</v>
      </c>
      <c r="AA36" s="222"/>
    </row>
    <row r="37" spans="1:27">
      <c r="Y37" s="166"/>
      <c r="Z37" s="220" t="s">
        <v>385</v>
      </c>
      <c r="AA37" s="222"/>
    </row>
    <row r="38" spans="1:27">
      <c r="Y38" s="166"/>
      <c r="Z38" s="226" t="s">
        <v>123</v>
      </c>
      <c r="AA38" s="222"/>
    </row>
    <row r="39" spans="1:27">
      <c r="Y39" s="166"/>
      <c r="Z39" s="226" t="s">
        <v>124</v>
      </c>
      <c r="AA39" s="222"/>
    </row>
    <row r="40" spans="1:27" ht="15">
      <c r="A40" s="228"/>
      <c r="B40" s="228"/>
      <c r="Y40" s="166"/>
      <c r="Z40" s="226" t="s">
        <v>125</v>
      </c>
      <c r="AA40" s="222"/>
    </row>
    <row r="41" spans="1:27">
      <c r="Y41" s="166"/>
      <c r="AA41" s="222"/>
    </row>
    <row r="42" spans="1:27">
      <c r="Y42" s="166"/>
      <c r="Z42" s="226"/>
      <c r="AA42" s="222"/>
    </row>
    <row r="43" spans="1:27">
      <c r="AA43" s="222"/>
    </row>
    <row r="44" spans="1:27" ht="15">
      <c r="A44" s="490"/>
      <c r="B44" s="490"/>
      <c r="AA44" s="222"/>
    </row>
    <row r="47" spans="1:27" ht="15">
      <c r="A47" s="228"/>
      <c r="B47" s="228"/>
    </row>
    <row r="49" spans="2:2" ht="15">
      <c r="B49" s="228"/>
    </row>
    <row r="55" spans="2:2" ht="15">
      <c r="B55" s="228"/>
    </row>
  </sheetData>
  <mergeCells count="47">
    <mergeCell ref="A44:B44"/>
    <mergeCell ref="A29:B29"/>
    <mergeCell ref="A20:B20"/>
    <mergeCell ref="A21:B21"/>
    <mergeCell ref="A22:B22"/>
    <mergeCell ref="A33:B34"/>
    <mergeCell ref="A25:B25"/>
    <mergeCell ref="A36:B36"/>
    <mergeCell ref="A23:B23"/>
    <mergeCell ref="A24:B24"/>
    <mergeCell ref="B1:C1"/>
    <mergeCell ref="C4:H4"/>
    <mergeCell ref="A9:B9"/>
    <mergeCell ref="E6:F6"/>
    <mergeCell ref="A13:B13"/>
    <mergeCell ref="E13:F13"/>
    <mergeCell ref="C28:D28"/>
    <mergeCell ref="C29:D29"/>
    <mergeCell ref="C33:D34"/>
    <mergeCell ref="A7:B7"/>
    <mergeCell ref="A8:B8"/>
    <mergeCell ref="A10:B10"/>
    <mergeCell ref="A12:B12"/>
    <mergeCell ref="A26:B26"/>
    <mergeCell ref="A18:B18"/>
    <mergeCell ref="A19:B19"/>
    <mergeCell ref="E24:F24"/>
    <mergeCell ref="E16:F16"/>
    <mergeCell ref="E17:F17"/>
    <mergeCell ref="E18:F18"/>
    <mergeCell ref="E19:F19"/>
    <mergeCell ref="E25:F25"/>
    <mergeCell ref="E7:F7"/>
    <mergeCell ref="E8:F8"/>
    <mergeCell ref="C36:D36"/>
    <mergeCell ref="C31:D31"/>
    <mergeCell ref="E11:F11"/>
    <mergeCell ref="E9:F9"/>
    <mergeCell ref="E10:F10"/>
    <mergeCell ref="E26:F26"/>
    <mergeCell ref="E15:F15"/>
    <mergeCell ref="E20:F20"/>
    <mergeCell ref="E21:F21"/>
    <mergeCell ref="E22:F22"/>
    <mergeCell ref="E23:F23"/>
    <mergeCell ref="E12:F12"/>
    <mergeCell ref="E14:F14"/>
  </mergeCells>
  <dataValidations count="10">
    <dataValidation type="list" allowBlank="1" sqref="C7:C26" xr:uid="{00000000-0002-0000-0100-000000000000}">
      <formula1>$Z$5:$Z$9</formula1>
    </dataValidation>
    <dataValidation allowBlank="1" showInputMessage="1" showErrorMessage="1" errorTitle="Email Address" error="Please enter a valid email address " promptTitle="Email Address" prompt="Please enter a valid email address. " sqref="G26 G9 G11 G20 G22:G24" xr:uid="{00000000-0002-0000-0100-000001000000}"/>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H7:H26" xr:uid="{00000000-0002-0000-0100-000002000000}">
      <formula1>AND(ISNUMBER(H7),LEN(H7)=10)</formula1>
    </dataValidation>
    <dataValidation allowBlank="1" showInputMessage="1" showErrorMessage="1" errorTitle="Email Address" error="Please enter a valid email address" promptTitle="Email Address" prompt="Please enter a valid email address. " sqref="G25" xr:uid="{00000000-0002-0000-0100-000003000000}"/>
    <dataValidation allowBlank="1" showInputMessage="1" showErrorMessage="1" errorTitle="Email Address" error="Please enter a valid email address _x000a_" promptTitle="Email Address" prompt="Please enter a valid email address." sqref="G14:G17" xr:uid="{00000000-0002-0000-0100-000004000000}"/>
    <dataValidation allowBlank="1" showInputMessage="1" showErrorMessage="1" promptTitle="Charter's home page web address" prompt="Please include www. when entering the web address of the charter's home page." sqref="C36:D36" xr:uid="{00000000-0002-0000-0100-000005000000}"/>
    <dataValidation allowBlank="1" showInputMessage="1" showErrorMessage="1" errorTitle="Email Address" error="Please enter a valid email address " promptTitle="Email Address" prompt="Please enter a valid email address." sqref="G21 G7:G8 G10 G12:G13 G18" xr:uid="{00000000-0002-0000-0100-000006000000}"/>
    <dataValidation allowBlank="1" showInputMessage="1" showErrorMessage="1" errorTitle="Email Address" error="Please enter a valid email address" promptTitle="Email Address" prompt="Please enter a valid email address." sqref="G19" xr:uid="{00000000-0002-0000-0100-000007000000}"/>
    <dataValidation type="list" allowBlank="1" showInputMessage="1" showErrorMessage="1" sqref="C33:D34" xr:uid="{00000000-0002-0000-0100-000008000000}">
      <formula1>$Z$10:$Z$12</formula1>
    </dataValidation>
    <dataValidation type="list" showInputMessage="1" showErrorMessage="1" error="Please select a vendor from the drop down list." sqref="C29:D29" xr:uid="{00000000-0002-0000-0100-000009000000}">
      <formula1>$Z$27:$Z$40</formula1>
    </dataValidation>
  </dataValidations>
  <hyperlinks>
    <hyperlink ref="C4:H4" location="CharterContactInfo" display="CHARTER CONTACT INFORMATION" xr:uid="{00000000-0004-0000-0100-000000000000}"/>
    <hyperlink ref="G20" r:id="rId1" xr:uid="{A46DA0CC-FDE9-4F9E-8FED-5CF2802328D0}"/>
  </hyperlinks>
  <pageMargins left="0.7" right="0.7" top="0.75" bottom="0.75" header="0.3" footer="0.3"/>
  <pageSetup paperSize="5" scale="73" orientation="landscape" r:id="rId2"/>
  <headerFooter>
    <oddFooter>&amp;L&amp;"Arial,Bold"Rev. 5/23 Arizona Department of Education and Auditor General&amp;R&amp;"Arial,Bold"Charter Contacts</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49"/>
  <sheetViews>
    <sheetView showGridLines="0" topLeftCell="A11" workbookViewId="0">
      <selection activeCell="I23" sqref="I23"/>
    </sheetView>
  </sheetViews>
  <sheetFormatPr defaultColWidth="9" defaultRowHeight="12.75" customHeight="1"/>
  <cols>
    <col min="1" max="2" width="1.5703125" customWidth="1"/>
    <col min="3" max="3" width="14.5703125" customWidth="1"/>
    <col min="4" max="4" width="41.42578125" customWidth="1"/>
    <col min="5" max="5" width="4" customWidth="1"/>
    <col min="6" max="13" width="12.5703125" customWidth="1"/>
    <col min="14" max="14" width="4" style="42" customWidth="1"/>
    <col min="15" max="15" width="9" customWidth="1"/>
  </cols>
  <sheetData>
    <row r="1" spans="1:14" ht="12" customHeight="1">
      <c r="A1" t="s">
        <v>181</v>
      </c>
      <c r="D1" s="493" t="str">
        <f>CharterName</f>
        <v>Legacy Education Group, Inc.</v>
      </c>
      <c r="E1" s="493"/>
      <c r="F1" s="493"/>
      <c r="H1" s="33" t="s">
        <v>128</v>
      </c>
      <c r="I1" s="494" t="str">
        <f>Cover!M1</f>
        <v>Maricopa</v>
      </c>
      <c r="J1" s="494"/>
      <c r="L1" s="33" t="s">
        <v>220</v>
      </c>
      <c r="M1" s="494" t="str">
        <f>CTD</f>
        <v>078507000</v>
      </c>
      <c r="N1" s="494"/>
    </row>
    <row r="2" spans="1:14" ht="3.75" customHeight="1">
      <c r="A2" s="229"/>
      <c r="B2" s="229"/>
      <c r="C2" s="229"/>
      <c r="D2" s="229"/>
      <c r="E2" s="229"/>
      <c r="F2" s="229"/>
      <c r="G2" s="229"/>
      <c r="H2" s="229"/>
      <c r="I2" s="229"/>
      <c r="J2" s="145"/>
      <c r="K2" s="145"/>
      <c r="L2" s="145"/>
      <c r="M2" s="145"/>
    </row>
    <row r="3" spans="1:14" ht="12" customHeight="1">
      <c r="B3" s="230"/>
      <c r="F3" s="231"/>
      <c r="H3" s="231" t="s">
        <v>9</v>
      </c>
      <c r="I3" s="231"/>
      <c r="J3" s="231"/>
      <c r="K3" s="232" t="s">
        <v>27</v>
      </c>
      <c r="L3" s="233"/>
      <c r="M3" s="234"/>
      <c r="N3" s="87"/>
    </row>
    <row r="4" spans="1:14" ht="12" customHeight="1">
      <c r="A4" t="s">
        <v>45</v>
      </c>
      <c r="D4" s="495"/>
      <c r="F4" s="235"/>
      <c r="G4" s="236" t="s">
        <v>8</v>
      </c>
      <c r="H4" s="231" t="s">
        <v>225</v>
      </c>
      <c r="J4" s="235"/>
      <c r="K4" s="231" t="s">
        <v>94</v>
      </c>
      <c r="L4" s="231" t="s">
        <v>28</v>
      </c>
      <c r="M4" s="118" t="s">
        <v>29</v>
      </c>
      <c r="N4" s="87"/>
    </row>
    <row r="5" spans="1:14" ht="12" customHeight="1">
      <c r="D5" s="495"/>
      <c r="F5" s="231" t="s">
        <v>10</v>
      </c>
      <c r="G5" s="236" t="s">
        <v>227</v>
      </c>
      <c r="H5" s="231" t="s">
        <v>13</v>
      </c>
      <c r="I5" s="231" t="s">
        <v>11</v>
      </c>
      <c r="J5" s="231" t="s">
        <v>12</v>
      </c>
      <c r="K5" s="231" t="s">
        <v>226</v>
      </c>
      <c r="L5" s="231" t="s">
        <v>226</v>
      </c>
      <c r="M5" s="118" t="s">
        <v>30</v>
      </c>
      <c r="N5" s="87"/>
    </row>
    <row r="6" spans="1:14" ht="12" customHeight="1">
      <c r="A6" s="237" t="s">
        <v>386</v>
      </c>
      <c r="B6" s="145"/>
      <c r="C6" s="145"/>
      <c r="D6" s="145"/>
      <c r="E6" s="145"/>
      <c r="F6" s="238">
        <v>6100</v>
      </c>
      <c r="G6" s="238">
        <v>6200</v>
      </c>
      <c r="H6" s="238">
        <v>6500</v>
      </c>
      <c r="I6" s="238">
        <v>6600</v>
      </c>
      <c r="J6" s="238">
        <v>6800</v>
      </c>
      <c r="K6" s="231">
        <v>2023</v>
      </c>
      <c r="L6" s="118">
        <v>2024</v>
      </c>
      <c r="M6" s="118" t="s">
        <v>311</v>
      </c>
      <c r="N6" s="87"/>
    </row>
    <row r="7" spans="1:14" ht="12" customHeight="1">
      <c r="A7" t="s">
        <v>294</v>
      </c>
      <c r="F7" s="239"/>
      <c r="G7" s="239"/>
      <c r="H7" s="239"/>
      <c r="I7" s="239"/>
      <c r="J7" s="240"/>
      <c r="K7" s="241"/>
      <c r="L7" s="241"/>
      <c r="M7" s="242"/>
    </row>
    <row r="8" spans="1:14" ht="12" customHeight="1">
      <c r="B8" t="s">
        <v>14</v>
      </c>
      <c r="E8" s="102">
        <v>1</v>
      </c>
      <c r="F8" s="2">
        <f>420464+4000</f>
        <v>424464</v>
      </c>
      <c r="G8" s="2">
        <f>66770+623</f>
        <v>67393</v>
      </c>
      <c r="H8" s="2">
        <v>18000</v>
      </c>
      <c r="I8" s="2">
        <v>17500</v>
      </c>
      <c r="J8" s="17">
        <v>300</v>
      </c>
      <c r="K8" s="245">
        <f>[1]!SP1000P100F1000</f>
        <v>656056</v>
      </c>
      <c r="L8" s="245">
        <f>SUM(F8:J8)</f>
        <v>527657</v>
      </c>
      <c r="M8" s="246">
        <f>IF(K8=0," ",(L8-K8)/K8)</f>
        <v>-0.19600000000000001</v>
      </c>
      <c r="N8" s="247">
        <v>1</v>
      </c>
    </row>
    <row r="9" spans="1:14" ht="12" customHeight="1">
      <c r="B9" t="s">
        <v>295</v>
      </c>
      <c r="E9" s="102"/>
      <c r="F9" s="239"/>
      <c r="G9" s="239"/>
      <c r="H9" s="239"/>
      <c r="I9" s="239"/>
      <c r="J9" s="240"/>
      <c r="K9" s="242"/>
      <c r="L9" s="242"/>
      <c r="M9" s="242"/>
      <c r="N9" s="247"/>
    </row>
    <row r="10" spans="1:14" ht="12" customHeight="1">
      <c r="B10" t="s">
        <v>50</v>
      </c>
      <c r="E10" s="102">
        <v>2</v>
      </c>
      <c r="F10" s="2">
        <v>94547</v>
      </c>
      <c r="G10" s="2">
        <v>10381</v>
      </c>
      <c r="H10" s="2">
        <v>21245</v>
      </c>
      <c r="I10" s="2">
        <v>1075</v>
      </c>
      <c r="J10" s="17">
        <v>6700</v>
      </c>
      <c r="K10" s="243">
        <f>[1]!SP1000P100F2100</f>
        <v>111517</v>
      </c>
      <c r="L10" s="243">
        <f>SUM(F10:J10)</f>
        <v>133948</v>
      </c>
      <c r="M10" s="248">
        <f>IF(K10=0," ",(L10-K10)/K10)</f>
        <v>0.20100000000000001</v>
      </c>
      <c r="N10" s="247">
        <v>2</v>
      </c>
    </row>
    <row r="11" spans="1:14" ht="12" customHeight="1">
      <c r="B11" t="s">
        <v>60</v>
      </c>
      <c r="E11" s="102">
        <v>3</v>
      </c>
      <c r="F11" s="2">
        <v>44000</v>
      </c>
      <c r="G11" s="2">
        <v>7951</v>
      </c>
      <c r="H11" s="2">
        <v>350</v>
      </c>
      <c r="I11" s="2">
        <v>2400</v>
      </c>
      <c r="J11" s="2"/>
      <c r="K11" s="243">
        <f>[1]!SP1000P100F2200</f>
        <v>56722</v>
      </c>
      <c r="L11" s="243">
        <f t="shared" ref="L11:L23" si="0">SUM(F11:J11)</f>
        <v>54701</v>
      </c>
      <c r="M11" s="248">
        <f t="shared" ref="M11:M23" si="1">IF(K11=0," ",(L11-K11)/K11)</f>
        <v>-3.5999999999999997E-2</v>
      </c>
      <c r="N11" s="249">
        <v>3</v>
      </c>
    </row>
    <row r="12" spans="1:14" ht="12" customHeight="1">
      <c r="B12" t="s">
        <v>296</v>
      </c>
      <c r="E12" s="102">
        <v>4</v>
      </c>
      <c r="F12" s="2"/>
      <c r="G12" s="2"/>
      <c r="H12" s="2">
        <v>7500</v>
      </c>
      <c r="I12" s="2"/>
      <c r="J12" s="2"/>
      <c r="K12" s="250">
        <f>[1]!SP1000P100F2300</f>
        <v>550</v>
      </c>
      <c r="L12" s="243">
        <f t="shared" si="0"/>
        <v>7500</v>
      </c>
      <c r="M12" s="248">
        <f t="shared" si="1"/>
        <v>12.635999999999999</v>
      </c>
      <c r="N12" s="249">
        <v>4</v>
      </c>
    </row>
    <row r="13" spans="1:14" ht="12" customHeight="1">
      <c r="B13" t="s">
        <v>297</v>
      </c>
      <c r="E13" s="102">
        <v>5</v>
      </c>
      <c r="F13" s="2">
        <v>116162</v>
      </c>
      <c r="G13" s="2">
        <v>23691</v>
      </c>
      <c r="H13" s="2">
        <v>21420</v>
      </c>
      <c r="I13" s="2">
        <v>19700</v>
      </c>
      <c r="J13" s="2">
        <v>250</v>
      </c>
      <c r="K13" s="250">
        <f>[1]!SP1000P100F2400</f>
        <v>147616</v>
      </c>
      <c r="L13" s="243">
        <f t="shared" si="0"/>
        <v>181223</v>
      </c>
      <c r="M13" s="248">
        <f t="shared" si="1"/>
        <v>0.22800000000000001</v>
      </c>
      <c r="N13" s="249">
        <v>5</v>
      </c>
    </row>
    <row r="14" spans="1:14" ht="12" customHeight="1">
      <c r="B14" t="s">
        <v>298</v>
      </c>
      <c r="E14" s="102">
        <v>6</v>
      </c>
      <c r="F14" s="2">
        <v>18096</v>
      </c>
      <c r="G14" s="2">
        <v>3742</v>
      </c>
      <c r="H14" s="2">
        <v>109895</v>
      </c>
      <c r="I14" s="2">
        <v>2600</v>
      </c>
      <c r="J14" s="2">
        <v>8900</v>
      </c>
      <c r="K14" s="250">
        <f>[1]!SP1000P100F2500</f>
        <v>130563</v>
      </c>
      <c r="L14" s="243">
        <f>SUM(F14:J14)</f>
        <v>143233</v>
      </c>
      <c r="M14" s="248">
        <f t="shared" si="1"/>
        <v>9.7000000000000003E-2</v>
      </c>
      <c r="N14" s="249">
        <v>6</v>
      </c>
    </row>
    <row r="15" spans="1:14" ht="12" customHeight="1">
      <c r="B15" t="s">
        <v>299</v>
      </c>
      <c r="E15" s="102">
        <v>7</v>
      </c>
      <c r="F15" s="2">
        <v>23040</v>
      </c>
      <c r="G15" s="2">
        <v>2493</v>
      </c>
      <c r="H15" s="2">
        <v>589570</v>
      </c>
      <c r="I15" s="2">
        <v>38500</v>
      </c>
      <c r="J15" s="2">
        <v>1300</v>
      </c>
      <c r="K15" s="250">
        <f>[1]!SP1000P100F2600</f>
        <v>523266</v>
      </c>
      <c r="L15" s="243">
        <f t="shared" si="0"/>
        <v>654903</v>
      </c>
      <c r="M15" s="248">
        <f t="shared" si="1"/>
        <v>0.252</v>
      </c>
      <c r="N15" s="249">
        <v>7</v>
      </c>
    </row>
    <row r="16" spans="1:14" ht="12" customHeight="1">
      <c r="B16" t="s">
        <v>300</v>
      </c>
      <c r="E16" s="102">
        <v>8</v>
      </c>
      <c r="F16" s="2"/>
      <c r="G16" s="2"/>
      <c r="H16" s="2"/>
      <c r="I16" s="2"/>
      <c r="J16" s="2"/>
      <c r="K16" s="250">
        <f>[1]!SP1000P100F2900</f>
        <v>0</v>
      </c>
      <c r="L16" s="243">
        <f t="shared" si="0"/>
        <v>0</v>
      </c>
      <c r="M16" s="248" t="str">
        <f t="shared" si="1"/>
        <v xml:space="preserve"> </v>
      </c>
      <c r="N16" s="249">
        <v>8</v>
      </c>
    </row>
    <row r="17" spans="1:14" ht="12" customHeight="1">
      <c r="B17" t="s">
        <v>301</v>
      </c>
      <c r="E17" s="102">
        <v>9</v>
      </c>
      <c r="F17" s="2"/>
      <c r="G17" s="2"/>
      <c r="H17" s="2">
        <v>43500</v>
      </c>
      <c r="I17" s="2">
        <v>300</v>
      </c>
      <c r="J17" s="2"/>
      <c r="K17" s="250">
        <f>[1]!SP1000P100F3000</f>
        <v>34076</v>
      </c>
      <c r="L17" s="243">
        <f t="shared" si="0"/>
        <v>43800</v>
      </c>
      <c r="M17" s="248">
        <f t="shared" si="1"/>
        <v>0.28499999999999998</v>
      </c>
      <c r="N17" s="249">
        <v>9</v>
      </c>
    </row>
    <row r="18" spans="1:14" ht="12" customHeight="1">
      <c r="B18" t="s">
        <v>302</v>
      </c>
      <c r="E18" s="102">
        <v>10</v>
      </c>
      <c r="F18" s="2"/>
      <c r="G18" s="2"/>
      <c r="H18" s="2"/>
      <c r="I18" s="2"/>
      <c r="J18" s="2"/>
      <c r="K18" s="250">
        <f>[1]!SP1000P100F4000</f>
        <v>0</v>
      </c>
      <c r="L18" s="243">
        <f t="shared" si="0"/>
        <v>0</v>
      </c>
      <c r="M18" s="248" t="str">
        <f t="shared" si="1"/>
        <v xml:space="preserve"> </v>
      </c>
      <c r="N18" s="249">
        <v>10</v>
      </c>
    </row>
    <row r="19" spans="1:14" ht="12" customHeight="1">
      <c r="B19" t="s">
        <v>303</v>
      </c>
      <c r="E19" s="251">
        <v>11</v>
      </c>
      <c r="F19" s="11"/>
      <c r="G19" s="2"/>
      <c r="H19" s="2"/>
      <c r="I19" s="2"/>
      <c r="J19" s="2">
        <v>21631</v>
      </c>
      <c r="K19" s="250">
        <f>[1]!SP1000P100F5000</f>
        <v>3200</v>
      </c>
      <c r="L19" s="243">
        <f t="shared" si="0"/>
        <v>21631</v>
      </c>
      <c r="M19" s="248">
        <f t="shared" si="1"/>
        <v>5.76</v>
      </c>
      <c r="N19" s="249">
        <v>11</v>
      </c>
    </row>
    <row r="20" spans="1:14" ht="12" customHeight="1">
      <c r="A20" t="s">
        <v>304</v>
      </c>
      <c r="E20" s="251">
        <v>12</v>
      </c>
      <c r="F20" s="11"/>
      <c r="G20" s="2"/>
      <c r="H20" s="2"/>
      <c r="I20" s="2"/>
      <c r="J20" s="2"/>
      <c r="K20" s="243">
        <f>[1]!SP1000P610</f>
        <v>0</v>
      </c>
      <c r="L20" s="243">
        <f t="shared" si="0"/>
        <v>0</v>
      </c>
      <c r="M20" s="248" t="str">
        <f t="shared" si="1"/>
        <v xml:space="preserve"> </v>
      </c>
      <c r="N20" s="249">
        <v>12</v>
      </c>
    </row>
    <row r="21" spans="1:14" ht="12" customHeight="1">
      <c r="A21" t="s">
        <v>305</v>
      </c>
      <c r="E21" s="251">
        <v>13</v>
      </c>
      <c r="F21" s="11"/>
      <c r="G21" s="2"/>
      <c r="H21" s="2"/>
      <c r="I21" s="2"/>
      <c r="J21" s="2"/>
      <c r="K21" s="243">
        <f>[1]!SP1000P620</f>
        <v>0</v>
      </c>
      <c r="L21" s="243">
        <f>SUM(F21:J21)</f>
        <v>0</v>
      </c>
      <c r="M21" s="248" t="str">
        <f t="shared" si="1"/>
        <v xml:space="preserve"> </v>
      </c>
      <c r="N21" s="249">
        <v>13</v>
      </c>
    </row>
    <row r="22" spans="1:14" ht="12" customHeight="1">
      <c r="A22" t="s">
        <v>306</v>
      </c>
      <c r="E22" s="251">
        <v>14</v>
      </c>
      <c r="F22" s="11"/>
      <c r="G22" s="2"/>
      <c r="H22" s="2"/>
      <c r="I22" s="2">
        <f>4000+5000</f>
        <v>9000</v>
      </c>
      <c r="J22" s="2">
        <v>2000</v>
      </c>
      <c r="K22" s="243">
        <f>[1]!SP1000P630700800900</f>
        <v>8000</v>
      </c>
      <c r="L22" s="243">
        <f t="shared" si="0"/>
        <v>11000</v>
      </c>
      <c r="M22" s="248">
        <f t="shared" si="1"/>
        <v>0.375</v>
      </c>
      <c r="N22" s="249">
        <v>14</v>
      </c>
    </row>
    <row r="23" spans="1:14" ht="12" customHeight="1">
      <c r="A23" s="145"/>
      <c r="B23" s="145" t="s">
        <v>57</v>
      </c>
      <c r="C23" s="145"/>
      <c r="D23" s="145"/>
      <c r="E23" s="253">
        <v>15</v>
      </c>
      <c r="F23" s="243">
        <f>SUM(F7:F22)</f>
        <v>720309</v>
      </c>
      <c r="G23" s="243">
        <f>SUM(G7:G22)</f>
        <v>115651</v>
      </c>
      <c r="H23" s="243">
        <f>SUM(H7:H22)</f>
        <v>811480</v>
      </c>
      <c r="I23" s="243">
        <f>SUM(I7:I22)</f>
        <v>91075</v>
      </c>
      <c r="J23" s="243">
        <f>SUM(J7:J22)</f>
        <v>41081</v>
      </c>
      <c r="K23" s="254">
        <f>SUM(K8:K22)</f>
        <v>1671566</v>
      </c>
      <c r="L23" s="254">
        <f t="shared" si="0"/>
        <v>1779596</v>
      </c>
      <c r="M23" s="248">
        <f t="shared" si="1"/>
        <v>6.5000000000000002E-2</v>
      </c>
      <c r="N23" s="249">
        <v>15</v>
      </c>
    </row>
    <row r="24" spans="1:14" ht="12" customHeight="1">
      <c r="A24" t="s">
        <v>307</v>
      </c>
      <c r="E24" s="102"/>
      <c r="F24" s="239"/>
      <c r="G24" s="239"/>
      <c r="H24" s="239"/>
      <c r="I24" s="239"/>
      <c r="J24" s="240"/>
      <c r="K24" s="242"/>
      <c r="L24" s="242"/>
      <c r="M24" s="242"/>
      <c r="N24" s="249"/>
    </row>
    <row r="25" spans="1:14" ht="12" customHeight="1">
      <c r="B25" t="s">
        <v>14</v>
      </c>
      <c r="E25" s="102">
        <v>16</v>
      </c>
      <c r="F25" s="2">
        <v>9822</v>
      </c>
      <c r="G25" s="2">
        <v>853</v>
      </c>
      <c r="H25" s="2">
        <v>1129</v>
      </c>
      <c r="I25" s="2"/>
      <c r="J25" s="17"/>
      <c r="K25" s="243">
        <f>[1]!SP1000P200F1000</f>
        <v>69306</v>
      </c>
      <c r="L25" s="243">
        <f>SUM(F25:J25)</f>
        <v>11804</v>
      </c>
      <c r="M25" s="255">
        <f>IF(K25=0," ",(L25-K25)/K25)</f>
        <v>-0.83</v>
      </c>
      <c r="N25" s="249">
        <v>16</v>
      </c>
    </row>
    <row r="26" spans="1:14" ht="12" customHeight="1">
      <c r="B26" t="s">
        <v>295</v>
      </c>
      <c r="E26" s="102"/>
      <c r="F26" s="239"/>
      <c r="G26" s="239"/>
      <c r="H26" s="239"/>
      <c r="I26" s="239"/>
      <c r="J26" s="240"/>
      <c r="K26" s="242"/>
      <c r="L26" s="242"/>
      <c r="M26" s="242"/>
      <c r="N26" s="249"/>
    </row>
    <row r="27" spans="1:14" ht="12" customHeight="1">
      <c r="B27" t="s">
        <v>50</v>
      </c>
      <c r="E27" s="251">
        <v>17</v>
      </c>
      <c r="F27" s="2">
        <v>2150</v>
      </c>
      <c r="G27" s="2">
        <v>335</v>
      </c>
      <c r="H27" s="2">
        <v>5168</v>
      </c>
      <c r="I27" s="2"/>
      <c r="J27" s="17"/>
      <c r="K27" s="243">
        <f>[1]!SP1000P200F2100</f>
        <v>0</v>
      </c>
      <c r="L27" s="243">
        <f>SUM(F27:J27)</f>
        <v>7653</v>
      </c>
      <c r="M27" s="255" t="str">
        <f>IF(K27=0," ",(L27-K27)/K27)</f>
        <v xml:space="preserve"> </v>
      </c>
      <c r="N27" s="249">
        <v>17</v>
      </c>
    </row>
    <row r="28" spans="1:14" ht="12" customHeight="1">
      <c r="B28" t="s">
        <v>60</v>
      </c>
      <c r="E28" s="251">
        <v>18</v>
      </c>
      <c r="F28" s="2">
        <v>46000</v>
      </c>
      <c r="G28" s="2">
        <v>3712</v>
      </c>
      <c r="H28" s="2">
        <v>1500</v>
      </c>
      <c r="I28" s="2"/>
      <c r="J28" s="2"/>
      <c r="K28" s="243">
        <f>[1]!SP1000P200F2200</f>
        <v>11471</v>
      </c>
      <c r="L28" s="243">
        <f t="shared" ref="L28:L42" si="2">SUM(F28:J28)</f>
        <v>51212</v>
      </c>
      <c r="M28" s="256">
        <f t="shared" ref="M28:M48" si="3">IF(K28=0," ",(L28-K28)/K28)</f>
        <v>3.464</v>
      </c>
      <c r="N28" s="249">
        <v>18</v>
      </c>
    </row>
    <row r="29" spans="1:14" ht="12" customHeight="1">
      <c r="B29" t="s">
        <v>296</v>
      </c>
      <c r="E29" s="251">
        <v>19</v>
      </c>
      <c r="F29" s="2"/>
      <c r="G29" s="2"/>
      <c r="H29" s="2"/>
      <c r="I29" s="2"/>
      <c r="J29" s="2"/>
      <c r="K29" s="250">
        <f>[1]!SP1000P200F2300</f>
        <v>0</v>
      </c>
      <c r="L29" s="243">
        <f t="shared" si="2"/>
        <v>0</v>
      </c>
      <c r="M29" s="248" t="str">
        <f t="shared" si="3"/>
        <v xml:space="preserve"> </v>
      </c>
      <c r="N29" s="249">
        <v>19</v>
      </c>
    </row>
    <row r="30" spans="1:14" ht="12" customHeight="1">
      <c r="B30" t="s">
        <v>297</v>
      </c>
      <c r="E30" s="251">
        <v>20</v>
      </c>
      <c r="F30" s="2">
        <v>10000</v>
      </c>
      <c r="G30" s="2">
        <v>938</v>
      </c>
      <c r="H30" s="2"/>
      <c r="I30" s="2"/>
      <c r="J30" s="2"/>
      <c r="K30" s="250">
        <f>[1]!SP1000P200F2400</f>
        <v>0</v>
      </c>
      <c r="L30" s="243">
        <f t="shared" si="2"/>
        <v>10938</v>
      </c>
      <c r="M30" s="248" t="str">
        <f t="shared" si="3"/>
        <v xml:space="preserve"> </v>
      </c>
      <c r="N30" s="249">
        <v>20</v>
      </c>
    </row>
    <row r="31" spans="1:14" ht="12" customHeight="1">
      <c r="B31" t="s">
        <v>298</v>
      </c>
      <c r="E31" s="251">
        <v>21</v>
      </c>
      <c r="F31" s="2"/>
      <c r="G31" s="2"/>
      <c r="H31" s="2"/>
      <c r="I31" s="2"/>
      <c r="J31" s="2"/>
      <c r="K31" s="250">
        <f>[1]!SP1000P200F2500</f>
        <v>0</v>
      </c>
      <c r="L31" s="243">
        <f>SUM(F31:J31)</f>
        <v>0</v>
      </c>
      <c r="M31" s="248" t="str">
        <f t="shared" si="3"/>
        <v xml:space="preserve"> </v>
      </c>
      <c r="N31" s="249">
        <v>21</v>
      </c>
    </row>
    <row r="32" spans="1:14" ht="12" customHeight="1">
      <c r="B32" t="s">
        <v>299</v>
      </c>
      <c r="E32" s="251">
        <v>22</v>
      </c>
      <c r="F32" s="2"/>
      <c r="G32" s="2"/>
      <c r="H32" s="2"/>
      <c r="I32" s="2"/>
      <c r="J32" s="2"/>
      <c r="K32" s="250">
        <f>[1]!SP1000P200F2600</f>
        <v>0</v>
      </c>
      <c r="L32" s="243">
        <f t="shared" si="2"/>
        <v>0</v>
      </c>
      <c r="M32" s="248" t="str">
        <f t="shared" si="3"/>
        <v xml:space="preserve"> </v>
      </c>
      <c r="N32" s="249">
        <v>22</v>
      </c>
    </row>
    <row r="33" spans="1:18" ht="12" customHeight="1">
      <c r="B33" t="s">
        <v>300</v>
      </c>
      <c r="E33" s="251">
        <v>23</v>
      </c>
      <c r="F33" s="2"/>
      <c r="G33" s="2"/>
      <c r="H33" s="2"/>
      <c r="I33" s="2"/>
      <c r="J33" s="2"/>
      <c r="K33" s="250">
        <f>[1]!SP1000P200F2900</f>
        <v>0</v>
      </c>
      <c r="L33" s="243">
        <f t="shared" si="2"/>
        <v>0</v>
      </c>
      <c r="M33" s="248" t="str">
        <f t="shared" si="3"/>
        <v xml:space="preserve"> </v>
      </c>
      <c r="N33" s="249">
        <v>23</v>
      </c>
    </row>
    <row r="34" spans="1:18" ht="12" customHeight="1">
      <c r="B34" t="s">
        <v>301</v>
      </c>
      <c r="E34" s="251">
        <v>24</v>
      </c>
      <c r="F34" s="2"/>
      <c r="G34" s="2"/>
      <c r="H34" s="2"/>
      <c r="I34" s="2"/>
      <c r="J34" s="2"/>
      <c r="K34" s="250">
        <f>[1]!SP1000P200F3000</f>
        <v>0</v>
      </c>
      <c r="L34" s="243">
        <f t="shared" si="2"/>
        <v>0</v>
      </c>
      <c r="M34" s="248" t="str">
        <f t="shared" si="3"/>
        <v xml:space="preserve"> </v>
      </c>
      <c r="N34" s="249">
        <v>24</v>
      </c>
      <c r="R34" s="230"/>
    </row>
    <row r="35" spans="1:18" ht="12" customHeight="1">
      <c r="B35" t="s">
        <v>302</v>
      </c>
      <c r="E35" s="251">
        <v>25</v>
      </c>
      <c r="F35" s="2"/>
      <c r="G35" s="2"/>
      <c r="H35" s="2"/>
      <c r="I35" s="2"/>
      <c r="J35" s="2"/>
      <c r="K35" s="250">
        <f>[1]!SP1000P200F4000</f>
        <v>0</v>
      </c>
      <c r="L35" s="243">
        <f t="shared" si="2"/>
        <v>0</v>
      </c>
      <c r="M35" s="248" t="str">
        <f t="shared" si="3"/>
        <v xml:space="preserve"> </v>
      </c>
      <c r="N35" s="249">
        <v>25</v>
      </c>
    </row>
    <row r="36" spans="1:18" ht="12" customHeight="1">
      <c r="B36" t="s">
        <v>303</v>
      </c>
      <c r="E36" s="102">
        <v>26</v>
      </c>
      <c r="F36" s="2"/>
      <c r="G36" s="2"/>
      <c r="H36" s="2"/>
      <c r="I36" s="2"/>
      <c r="J36" s="2"/>
      <c r="K36" s="250">
        <f>[1]!SP1000P200F5000</f>
        <v>0</v>
      </c>
      <c r="L36" s="243">
        <f t="shared" si="2"/>
        <v>0</v>
      </c>
      <c r="M36" s="248" t="str">
        <f t="shared" si="3"/>
        <v xml:space="preserve"> </v>
      </c>
      <c r="N36" s="249">
        <v>26</v>
      </c>
    </row>
    <row r="37" spans="1:18" ht="12" customHeight="1">
      <c r="A37" s="145"/>
      <c r="B37" s="145" t="s">
        <v>43</v>
      </c>
      <c r="C37" s="145"/>
      <c r="D37" s="145"/>
      <c r="E37" s="253">
        <v>27</v>
      </c>
      <c r="F37" s="250">
        <f>SUM(F24:F36)</f>
        <v>67972</v>
      </c>
      <c r="G37" s="250">
        <f>SUM(G24:G36)</f>
        <v>5838</v>
      </c>
      <c r="H37" s="250">
        <f>SUM(H24:H36)</f>
        <v>7797</v>
      </c>
      <c r="I37" s="250">
        <f>SUM(I24:I36)</f>
        <v>0</v>
      </c>
      <c r="J37" s="250">
        <f>SUM(J24:J36)</f>
        <v>0</v>
      </c>
      <c r="K37" s="250">
        <f>SUM(K25:K36)</f>
        <v>80777</v>
      </c>
      <c r="L37" s="250">
        <f t="shared" si="2"/>
        <v>81607</v>
      </c>
      <c r="M37" s="256">
        <f t="shared" si="3"/>
        <v>0.01</v>
      </c>
      <c r="N37" s="249">
        <v>27</v>
      </c>
    </row>
    <row r="38" spans="1:18" ht="0.75" customHeight="1">
      <c r="A38" t="s">
        <v>61</v>
      </c>
      <c r="E38" s="102">
        <v>28</v>
      </c>
      <c r="F38" s="257"/>
      <c r="G38" s="257"/>
      <c r="H38" s="257"/>
      <c r="I38" s="257"/>
      <c r="J38" s="257"/>
      <c r="K38" s="257"/>
      <c r="L38" s="257"/>
      <c r="M38" s="258"/>
      <c r="N38" s="247">
        <v>28</v>
      </c>
    </row>
    <row r="39" spans="1:18" ht="12" customHeight="1">
      <c r="A39" s="145" t="s">
        <v>308</v>
      </c>
      <c r="B39" s="145"/>
      <c r="C39" s="145"/>
      <c r="D39" s="145"/>
      <c r="E39" s="253">
        <v>28</v>
      </c>
      <c r="F39" s="2"/>
      <c r="G39" s="2"/>
      <c r="H39" s="2"/>
      <c r="I39" s="2">
        <v>1500</v>
      </c>
      <c r="J39" s="2"/>
      <c r="K39" s="243">
        <f>[1]!SP1000P400</f>
        <v>350</v>
      </c>
      <c r="L39" s="243">
        <f t="shared" si="2"/>
        <v>1500</v>
      </c>
      <c r="M39" s="248">
        <f t="shared" si="3"/>
        <v>3.286</v>
      </c>
      <c r="N39" s="249">
        <v>28</v>
      </c>
    </row>
    <row r="40" spans="1:18" ht="12" customHeight="1">
      <c r="A40" s="145" t="s">
        <v>309</v>
      </c>
      <c r="B40" s="145"/>
      <c r="C40" s="145"/>
      <c r="D40" s="145"/>
      <c r="E40" s="259">
        <v>29</v>
      </c>
      <c r="F40" s="2"/>
      <c r="G40" s="2"/>
      <c r="H40" s="2"/>
      <c r="I40" s="2"/>
      <c r="J40" s="2"/>
      <c r="K40" s="250">
        <f>[1]!SP1000P530</f>
        <v>0</v>
      </c>
      <c r="L40" s="243">
        <f>SUM(F40:J40)</f>
        <v>0</v>
      </c>
      <c r="M40" s="248" t="str">
        <f t="shared" si="3"/>
        <v xml:space="preserve"> </v>
      </c>
      <c r="N40" s="249">
        <v>29</v>
      </c>
    </row>
    <row r="41" spans="1:18" ht="12" customHeight="1">
      <c r="A41" s="145" t="s">
        <v>310</v>
      </c>
      <c r="B41" s="145"/>
      <c r="C41" s="145"/>
      <c r="D41" s="145"/>
      <c r="E41" s="259">
        <v>30</v>
      </c>
      <c r="F41" s="2"/>
      <c r="G41" s="2"/>
      <c r="H41" s="2"/>
      <c r="I41" s="2"/>
      <c r="J41" s="2"/>
      <c r="K41" s="250">
        <f>[1]!SP1000P540</f>
        <v>0</v>
      </c>
      <c r="L41" s="243">
        <f t="shared" si="2"/>
        <v>0</v>
      </c>
      <c r="M41" s="248" t="str">
        <f t="shared" si="3"/>
        <v xml:space="preserve"> </v>
      </c>
      <c r="N41" s="249">
        <v>30</v>
      </c>
    </row>
    <row r="42" spans="1:18" ht="12" customHeight="1">
      <c r="A42" s="260" t="s">
        <v>83</v>
      </c>
      <c r="B42" s="261"/>
      <c r="C42" s="261"/>
      <c r="D42" s="261"/>
      <c r="E42" s="259">
        <v>31</v>
      </c>
      <c r="F42" s="2"/>
      <c r="G42" s="2"/>
      <c r="H42" s="2"/>
      <c r="I42" s="2"/>
      <c r="J42" s="2"/>
      <c r="K42" s="250">
        <f>[1]!SP1000P550</f>
        <v>0</v>
      </c>
      <c r="L42" s="243">
        <f t="shared" si="2"/>
        <v>0</v>
      </c>
      <c r="M42" s="248" t="str">
        <f t="shared" si="3"/>
        <v xml:space="preserve"> </v>
      </c>
      <c r="N42" s="249">
        <v>31</v>
      </c>
    </row>
    <row r="43" spans="1:18" ht="12" customHeight="1">
      <c r="A43" s="145"/>
      <c r="B43" s="145" t="s">
        <v>100</v>
      </c>
      <c r="C43" s="145"/>
      <c r="D43" s="145"/>
      <c r="E43" s="259">
        <v>32</v>
      </c>
      <c r="F43" s="243">
        <f t="shared" ref="F43:K43" si="4">SUM(F37:F42)+F23</f>
        <v>788281</v>
      </c>
      <c r="G43" s="243">
        <f t="shared" si="4"/>
        <v>121489</v>
      </c>
      <c r="H43" s="243">
        <f t="shared" si="4"/>
        <v>819277</v>
      </c>
      <c r="I43" s="243">
        <f t="shared" si="4"/>
        <v>92575</v>
      </c>
      <c r="J43" s="243">
        <f t="shared" si="4"/>
        <v>41081</v>
      </c>
      <c r="K43" s="243">
        <f t="shared" si="4"/>
        <v>1752693</v>
      </c>
      <c r="L43" s="243">
        <f>SUM(F43:J43)</f>
        <v>1862703</v>
      </c>
      <c r="M43" s="248">
        <f t="shared" si="3"/>
        <v>6.3E-2</v>
      </c>
      <c r="N43" s="249">
        <v>32</v>
      </c>
    </row>
    <row r="44" spans="1:18" ht="12" customHeight="1">
      <c r="A44" s="145" t="s">
        <v>399</v>
      </c>
      <c r="B44" s="145"/>
      <c r="C44" s="145"/>
      <c r="D44" s="145"/>
      <c r="E44" s="259">
        <v>33</v>
      </c>
      <c r="F44" s="243">
        <f>TotalCSP6100</f>
        <v>168119</v>
      </c>
      <c r="G44" s="243">
        <f>TotalCSP6200</f>
        <v>5628</v>
      </c>
      <c r="H44" s="243">
        <f>TotalCSP630064006500</f>
        <v>0</v>
      </c>
      <c r="I44" s="243">
        <f>TotalCSP6600</f>
        <v>0</v>
      </c>
      <c r="J44" s="262"/>
      <c r="K44" s="243">
        <f>[1]!SP1000ClassSiteProj</f>
        <v>131014</v>
      </c>
      <c r="L44" s="243">
        <f>SUM(F44:J44)</f>
        <v>173747</v>
      </c>
      <c r="M44" s="248">
        <f t="shared" si="3"/>
        <v>0.32600000000000001</v>
      </c>
      <c r="N44" s="249">
        <v>33</v>
      </c>
    </row>
    <row r="45" spans="1:18" ht="12" customHeight="1">
      <c r="A45" s="145" t="s">
        <v>387</v>
      </c>
      <c r="B45" s="145"/>
      <c r="C45" s="145"/>
      <c r="D45" s="145"/>
      <c r="E45" s="259">
        <v>34</v>
      </c>
      <c r="F45" s="262"/>
      <c r="G45" s="262"/>
      <c r="H45" s="262"/>
      <c r="I45" s="262"/>
      <c r="J45" s="262"/>
      <c r="K45" s="243">
        <f>[1]!SP1000InstrImpProj</f>
        <v>10434</v>
      </c>
      <c r="L45" s="243">
        <f>TotalInstructionalImprovement</f>
        <v>7851</v>
      </c>
      <c r="M45" s="248">
        <f t="shared" si="3"/>
        <v>-0.248</v>
      </c>
      <c r="N45" s="249">
        <v>34</v>
      </c>
    </row>
    <row r="46" spans="1:18" ht="12" customHeight="1">
      <c r="A46" s="145" t="s">
        <v>388</v>
      </c>
      <c r="B46" s="145"/>
      <c r="C46" s="145"/>
      <c r="D46" s="145"/>
      <c r="E46" s="259">
        <v>35</v>
      </c>
      <c r="F46" s="243">
        <f>TotalSEIP6100</f>
        <v>0</v>
      </c>
      <c r="G46" s="243">
        <f>TotalSEIP6200</f>
        <v>0</v>
      </c>
      <c r="H46" s="243">
        <f>TotalSEIP630064006500</f>
        <v>0</v>
      </c>
      <c r="I46" s="243">
        <f>TotalSEIP6600</f>
        <v>0</v>
      </c>
      <c r="J46" s="243">
        <f>TotalSEIP6800</f>
        <v>0</v>
      </c>
      <c r="K46" s="243">
        <f>[1]!SP1000StruEngImmProj</f>
        <v>0</v>
      </c>
      <c r="L46" s="243">
        <f>TotalSEIP</f>
        <v>0</v>
      </c>
      <c r="M46" s="248" t="str">
        <f t="shared" si="3"/>
        <v xml:space="preserve"> </v>
      </c>
      <c r="N46" s="249">
        <v>35</v>
      </c>
    </row>
    <row r="47" spans="1:18" ht="12" customHeight="1">
      <c r="A47" s="145" t="s">
        <v>389</v>
      </c>
      <c r="B47" s="145"/>
      <c r="C47" s="145"/>
      <c r="D47" s="145"/>
      <c r="E47" s="259">
        <v>36</v>
      </c>
      <c r="F47" s="243">
        <f>TotalCIP6100</f>
        <v>0</v>
      </c>
      <c r="G47" s="243">
        <f>TotalCIP6200</f>
        <v>0</v>
      </c>
      <c r="H47" s="243">
        <f>TotalCIP630064006500</f>
        <v>0</v>
      </c>
      <c r="I47" s="243">
        <f>TotalCIP6600</f>
        <v>0</v>
      </c>
      <c r="J47" s="243">
        <f>TotalCIP6800</f>
        <v>0</v>
      </c>
      <c r="K47" s="250">
        <f>[1]!SP1000CompInstrProj</f>
        <v>0</v>
      </c>
      <c r="L47" s="243">
        <f>TotalCIP</f>
        <v>0</v>
      </c>
      <c r="M47" s="248" t="str">
        <f t="shared" si="3"/>
        <v xml:space="preserve"> </v>
      </c>
      <c r="N47" s="249">
        <v>36</v>
      </c>
    </row>
    <row r="48" spans="1:18" ht="12" customHeight="1">
      <c r="A48" s="260" t="s">
        <v>482</v>
      </c>
      <c r="B48" s="261"/>
      <c r="C48" s="261"/>
      <c r="D48" s="261"/>
      <c r="E48" s="259">
        <v>37</v>
      </c>
      <c r="F48" s="262"/>
      <c r="G48" s="262"/>
      <c r="H48" s="262"/>
      <c r="I48" s="262"/>
      <c r="J48" s="262"/>
      <c r="K48" s="250">
        <f>[1]!SP1000FedStProj</f>
        <v>349956</v>
      </c>
      <c r="L48" s="243">
        <f>FederalandStateProjectsTotal</f>
        <v>190371</v>
      </c>
      <c r="M48" s="248">
        <f t="shared" si="3"/>
        <v>-0.45600000000000002</v>
      </c>
      <c r="N48" s="249">
        <v>37</v>
      </c>
    </row>
    <row r="49" spans="1:14" ht="12" customHeight="1">
      <c r="A49" s="263"/>
      <c r="B49" s="145" t="s">
        <v>101</v>
      </c>
      <c r="C49" s="145"/>
      <c r="D49" s="145"/>
      <c r="E49" s="259">
        <v>38</v>
      </c>
      <c r="F49" s="264">
        <f>SUM(F43+F44+F46+F47)</f>
        <v>956400</v>
      </c>
      <c r="G49" s="264">
        <f>SUM(G43+G44+G46+G47)</f>
        <v>127117</v>
      </c>
      <c r="H49" s="264">
        <f>SUM(H43+H44+H46+H47)</f>
        <v>819277</v>
      </c>
      <c r="I49" s="264">
        <f>SUM(I43+I44+I46+I47)</f>
        <v>92575</v>
      </c>
      <c r="J49" s="264">
        <f>SUM(J43+J46+J47)</f>
        <v>41081</v>
      </c>
      <c r="K49" s="265">
        <f>SUM(K43:K48)</f>
        <v>2244097</v>
      </c>
      <c r="L49" s="265">
        <f>SUM(L43:L48)</f>
        <v>2234672</v>
      </c>
      <c r="M49" s="248">
        <f>IF(K49=0," ",(L49-K49)/K49)</f>
        <v>-4.0000000000000001E-3</v>
      </c>
      <c r="N49" s="249">
        <v>38</v>
      </c>
    </row>
  </sheetData>
  <sheetProtection sheet="1" objects="1" scenarios="1"/>
  <mergeCells count="4">
    <mergeCell ref="D1:F1"/>
    <mergeCell ref="I1:J1"/>
    <mergeCell ref="M1:N1"/>
    <mergeCell ref="D4:D5"/>
  </mergeCells>
  <hyperlinks>
    <hyperlink ref="G4" r:id="rId1" display="https://azauditor.sharepoint.com/sites/ASDonline/School%20District%20Budget/FY%202024%20Budget%20Forms/Prohibited%20formula%20characters/Files%20from%20ADE%203-27-23/EmpBenefits" xr:uid="{00000000-0004-0000-0200-000000000000}"/>
    <hyperlink ref="G5" r:id="rId2" display="Benefits" xr:uid="{00000000-0004-0000-0200-000001000000}"/>
    <hyperlink ref="A42:D42" location="Pg1Program550" display="550 K-3 Reading" xr:uid="{00000000-0004-0000-0200-000002000000}"/>
    <hyperlink ref="G4:G5" location="Pg1EmployeeBenefits" display="Employee" xr:uid="{00000000-0004-0000-0200-000003000000}"/>
    <hyperlink ref="A48:D48" location="Pg1Line37" display="Federal and State Projects (from page 2, line 30)" xr:uid="{00000000-0004-0000-0200-000004000000}"/>
  </hyperlinks>
  <printOptions horizontalCentered="1" verticalCentered="1"/>
  <pageMargins left="0.75" right="0.5" top="0.25" bottom="0.25" header="0" footer="0"/>
  <pageSetup paperSize="5" scale="79" orientation="landscape" horizontalDpi="300" verticalDpi="300" r:id="rId3"/>
  <headerFooter>
    <oddFooter>&amp;L&amp;"Arial,Bold"Rev. 5/23 Arizona Department of Education and Auditor General&amp;R&amp;"Arial,Bold"Page  1 of 4</oddFooter>
  </headerFooter>
  <ignoredErrors>
    <ignoredError sqref="L41 F23:J23 L28:L36 L11:L20 L39 L22" formulaRange="1"/>
  </ignoredErrors>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50"/>
  <sheetViews>
    <sheetView showGridLines="0" workbookViewId="0">
      <selection activeCell="N46" sqref="N46"/>
    </sheetView>
  </sheetViews>
  <sheetFormatPr defaultColWidth="9.140625" defaultRowHeight="12.75" customHeight="1"/>
  <cols>
    <col min="1" max="1" width="3.5703125" customWidth="1"/>
    <col min="2" max="2" width="14.5703125" customWidth="1"/>
    <col min="3" max="3" width="35" customWidth="1"/>
    <col min="4" max="5" width="12.140625" customWidth="1"/>
    <col min="6" max="6" width="3.5703125" customWidth="1"/>
    <col min="7" max="7" width="5.140625" customWidth="1"/>
    <col min="8" max="8" width="27.42578125" customWidth="1"/>
    <col min="9" max="9" width="6.5703125" customWidth="1"/>
    <col min="10" max="10" width="6.42578125" customWidth="1"/>
    <col min="11" max="11" width="5.42578125" customWidth="1"/>
    <col min="12" max="12" width="7" customWidth="1"/>
    <col min="13" max="14" width="12.140625" customWidth="1"/>
    <col min="15" max="15" width="3.5703125" customWidth="1"/>
    <col min="16" max="16" width="7.5703125" customWidth="1"/>
  </cols>
  <sheetData>
    <row r="1" spans="1:19" ht="13.5" customHeight="1">
      <c r="A1" t="s">
        <v>181</v>
      </c>
      <c r="C1" s="493" t="str">
        <f>CharterName</f>
        <v>Legacy Education Group, Inc.</v>
      </c>
      <c r="D1" s="493"/>
      <c r="E1" s="493"/>
      <c r="F1" s="493"/>
      <c r="H1" s="33" t="s">
        <v>128</v>
      </c>
      <c r="I1" s="494" t="str">
        <f>Cover!M1</f>
        <v>Maricopa</v>
      </c>
      <c r="J1" s="477"/>
      <c r="K1" s="477"/>
      <c r="M1" s="33" t="s">
        <v>220</v>
      </c>
      <c r="N1" s="36" t="str">
        <f>CTD</f>
        <v>078507000</v>
      </c>
    </row>
    <row r="2" spans="1:19" ht="7.5" customHeight="1">
      <c r="A2" s="266"/>
      <c r="B2" s="144"/>
      <c r="C2" s="144"/>
      <c r="D2" s="144"/>
      <c r="E2" s="144"/>
      <c r="H2" s="267"/>
      <c r="I2" s="268"/>
      <c r="J2" s="268"/>
      <c r="K2" s="268"/>
      <c r="L2" s="268"/>
      <c r="M2" s="268"/>
      <c r="N2" s="268"/>
    </row>
    <row r="3" spans="1:19" ht="12" customHeight="1">
      <c r="A3" s="499" t="s">
        <v>186</v>
      </c>
      <c r="B3" s="500"/>
      <c r="C3" s="500"/>
      <c r="D3" s="269"/>
      <c r="E3" s="269"/>
      <c r="H3" s="269" t="s">
        <v>187</v>
      </c>
      <c r="I3" s="270"/>
      <c r="J3" s="270"/>
      <c r="K3" s="270"/>
      <c r="L3" s="270"/>
      <c r="M3" s="270"/>
      <c r="N3" s="270"/>
      <c r="Q3" s="496"/>
      <c r="R3" s="496"/>
    </row>
    <row r="4" spans="1:19" ht="40.5" customHeight="1">
      <c r="A4" s="101" t="s">
        <v>212</v>
      </c>
      <c r="D4" s="271" t="s">
        <v>483</v>
      </c>
      <c r="E4" s="271" t="s">
        <v>484</v>
      </c>
      <c r="H4" s="144"/>
      <c r="I4" s="144"/>
      <c r="J4" s="144"/>
      <c r="K4" s="144"/>
      <c r="M4" s="271" t="s">
        <v>486</v>
      </c>
      <c r="N4" s="271" t="s">
        <v>485</v>
      </c>
      <c r="Q4" s="496"/>
      <c r="R4" s="496"/>
    </row>
    <row r="5" spans="1:19" ht="12" customHeight="1">
      <c r="A5" s="272">
        <v>1</v>
      </c>
      <c r="B5" s="129" t="s">
        <v>66</v>
      </c>
      <c r="C5" s="129"/>
      <c r="D5" s="273">
        <f>[1]!FP11001130TitleI</f>
        <v>46961</v>
      </c>
      <c r="E5" s="14">
        <v>57239</v>
      </c>
      <c r="F5" s="247">
        <v>1</v>
      </c>
      <c r="G5" s="274">
        <v>1</v>
      </c>
      <c r="H5" s="275" t="s">
        <v>233</v>
      </c>
      <c r="I5" s="275"/>
      <c r="J5" s="276"/>
      <c r="K5" s="129"/>
      <c r="M5" s="277">
        <f>'[1]Page 2'!$N$5</f>
        <v>80777</v>
      </c>
      <c r="N5" s="15">
        <f>'Page 1'!L37</f>
        <v>81607</v>
      </c>
      <c r="O5" s="247">
        <v>1</v>
      </c>
      <c r="R5" s="257"/>
      <c r="S5" s="257"/>
    </row>
    <row r="6" spans="1:19" ht="12" customHeight="1">
      <c r="A6" s="272">
        <v>2</v>
      </c>
      <c r="B6" s="129" t="s">
        <v>67</v>
      </c>
      <c r="C6" s="129"/>
      <c r="D6" s="273">
        <f>[1]!FP11401150TitleII</f>
        <v>5349</v>
      </c>
      <c r="E6" s="14">
        <v>5746</v>
      </c>
      <c r="F6" s="247">
        <v>2</v>
      </c>
      <c r="G6" s="274">
        <v>2</v>
      </c>
      <c r="H6" s="129" t="s">
        <v>230</v>
      </c>
      <c r="I6" s="129"/>
      <c r="J6" s="129"/>
      <c r="K6" s="129"/>
      <c r="M6" s="277">
        <f>[1]!P200GiftedEducation</f>
        <v>0</v>
      </c>
      <c r="N6" s="15">
        <v>0</v>
      </c>
      <c r="O6" s="247">
        <v>2</v>
      </c>
      <c r="R6" s="257"/>
      <c r="S6" s="257"/>
    </row>
    <row r="7" spans="1:19" ht="12" customHeight="1">
      <c r="A7" s="272">
        <v>3</v>
      </c>
      <c r="B7" s="129" t="s">
        <v>68</v>
      </c>
      <c r="C7" s="129"/>
      <c r="D7" s="273">
        <f>[1]!FP1160TitleIV</f>
        <v>8291</v>
      </c>
      <c r="E7" s="14">
        <v>12490</v>
      </c>
      <c r="F7" s="247">
        <v>3</v>
      </c>
      <c r="G7" s="274">
        <v>3</v>
      </c>
      <c r="H7" s="129" t="s">
        <v>312</v>
      </c>
      <c r="I7" s="129"/>
      <c r="J7" s="129"/>
      <c r="K7" s="129"/>
      <c r="M7" s="273">
        <f>[1]!P200ELLIncrementalCosts</f>
        <v>0</v>
      </c>
      <c r="N7" s="14">
        <v>0</v>
      </c>
      <c r="O7" s="247">
        <v>3</v>
      </c>
      <c r="R7" s="257"/>
      <c r="S7" s="257"/>
    </row>
    <row r="8" spans="1:19" ht="12" customHeight="1">
      <c r="A8" s="272">
        <v>4</v>
      </c>
      <c r="B8" s="129" t="s">
        <v>69</v>
      </c>
      <c r="C8" s="129"/>
      <c r="D8" s="273">
        <f>[1]!FP11701180TitleV</f>
        <v>0</v>
      </c>
      <c r="E8" s="14">
        <v>0</v>
      </c>
      <c r="F8" s="247">
        <v>4</v>
      </c>
      <c r="G8" s="274">
        <v>4</v>
      </c>
      <c r="H8" s="129" t="s">
        <v>313</v>
      </c>
      <c r="I8" s="129"/>
      <c r="J8" s="129"/>
      <c r="K8" s="129"/>
      <c r="M8" s="273">
        <f>[1]!P200ELLCompensatoryInstruction</f>
        <v>0</v>
      </c>
      <c r="N8" s="14">
        <v>0</v>
      </c>
      <c r="O8" s="247">
        <v>4</v>
      </c>
      <c r="R8" s="257"/>
      <c r="S8" s="257"/>
    </row>
    <row r="9" spans="1:19" ht="12" customHeight="1">
      <c r="A9" s="272">
        <v>5</v>
      </c>
      <c r="B9" s="129" t="s">
        <v>70</v>
      </c>
      <c r="C9" s="129"/>
      <c r="D9" s="273">
        <f>[1]!FP1190TitleIII</f>
        <v>0</v>
      </c>
      <c r="E9" s="14">
        <v>0</v>
      </c>
      <c r="F9" s="247">
        <v>5</v>
      </c>
      <c r="G9" s="274">
        <v>5</v>
      </c>
      <c r="H9" s="129" t="s">
        <v>231</v>
      </c>
      <c r="I9" s="129"/>
      <c r="J9" s="129"/>
      <c r="K9" s="129"/>
      <c r="M9" s="273">
        <f>[1]!P200RemedialEducation</f>
        <v>0</v>
      </c>
      <c r="N9" s="14">
        <v>0</v>
      </c>
      <c r="O9" s="247">
        <v>5</v>
      </c>
      <c r="R9" s="257"/>
      <c r="S9" s="257"/>
    </row>
    <row r="10" spans="1:19" ht="12" customHeight="1">
      <c r="A10" s="272">
        <v>6</v>
      </c>
      <c r="B10" s="129" t="s">
        <v>71</v>
      </c>
      <c r="C10" s="129"/>
      <c r="D10" s="273">
        <f>[1]!FP1200TitleVII</f>
        <v>0</v>
      </c>
      <c r="E10" s="14">
        <v>0</v>
      </c>
      <c r="F10" s="247">
        <v>6</v>
      </c>
      <c r="G10" s="274">
        <v>6</v>
      </c>
      <c r="H10" s="129" t="s">
        <v>314</v>
      </c>
      <c r="I10" s="129"/>
      <c r="J10" s="129"/>
      <c r="K10" s="129"/>
      <c r="M10" s="273">
        <f>[1]!P200VocationalandTechnologicalEd</f>
        <v>0</v>
      </c>
      <c r="N10" s="14">
        <v>0</v>
      </c>
      <c r="O10" s="247">
        <v>6</v>
      </c>
      <c r="R10" s="257"/>
      <c r="S10" s="257"/>
    </row>
    <row r="11" spans="1:19" ht="12" customHeight="1">
      <c r="A11" s="272">
        <v>7</v>
      </c>
      <c r="B11" s="129" t="s">
        <v>72</v>
      </c>
      <c r="C11" s="129"/>
      <c r="D11" s="273">
        <f>[1]!FP1210TitleVI</f>
        <v>0</v>
      </c>
      <c r="E11" s="14">
        <v>0</v>
      </c>
      <c r="F11" s="247">
        <v>7</v>
      </c>
      <c r="G11" s="274">
        <v>7</v>
      </c>
      <c r="H11" s="129" t="s">
        <v>232</v>
      </c>
      <c r="I11" s="129"/>
      <c r="J11" s="129"/>
      <c r="K11" s="129"/>
      <c r="M11" s="273">
        <f>[1]!P200CareerEducation</f>
        <v>0</v>
      </c>
      <c r="N11" s="14">
        <v>0</v>
      </c>
      <c r="O11" s="247">
        <v>7</v>
      </c>
      <c r="R11" s="257"/>
      <c r="S11" s="257"/>
    </row>
    <row r="12" spans="1:19" ht="12" customHeight="1">
      <c r="A12" s="272">
        <v>8</v>
      </c>
      <c r="B12" s="129" t="s">
        <v>20</v>
      </c>
      <c r="C12" s="129"/>
      <c r="D12" s="273">
        <f>[1]!FP1220IDEA</f>
        <v>25770</v>
      </c>
      <c r="E12" s="14">
        <f>27176</f>
        <v>27176</v>
      </c>
      <c r="F12" s="247">
        <v>8</v>
      </c>
      <c r="G12" s="274">
        <v>8</v>
      </c>
      <c r="H12" t="s">
        <v>98</v>
      </c>
      <c r="K12" s="129"/>
      <c r="M12" s="277">
        <f>SUM(M5:M11)</f>
        <v>80777</v>
      </c>
      <c r="N12" s="277">
        <f>SUM(N5:N11)</f>
        <v>81607</v>
      </c>
      <c r="O12" s="247">
        <v>8</v>
      </c>
      <c r="P12" s="154" t="str">
        <f>IF(SUM(N5:N11)=SUM('Page 1'!L37),"","Invalid. The amount must equal the total budgeted amount reported on page 1, line 27.")</f>
        <v/>
      </c>
      <c r="R12" s="257"/>
      <c r="S12" s="257"/>
    </row>
    <row r="13" spans="1:19" ht="12" customHeight="1">
      <c r="A13" s="272">
        <v>9</v>
      </c>
      <c r="B13" s="129" t="s">
        <v>21</v>
      </c>
      <c r="C13" s="129"/>
      <c r="D13" s="273">
        <f>[1]!FP1230Johnson</f>
        <v>0</v>
      </c>
      <c r="E13" s="14">
        <v>0</v>
      </c>
      <c r="F13" s="247">
        <v>9</v>
      </c>
      <c r="N13" s="257"/>
      <c r="O13" s="247"/>
      <c r="R13" s="257"/>
      <c r="S13" s="257"/>
    </row>
    <row r="14" spans="1:19" ht="12.75" customHeight="1">
      <c r="A14" s="272">
        <v>10</v>
      </c>
      <c r="B14" s="129" t="s">
        <v>51</v>
      </c>
      <c r="C14" s="129"/>
      <c r="D14" s="273">
        <f>[1]!FP1240WIA</f>
        <v>0</v>
      </c>
      <c r="E14" s="14">
        <v>0</v>
      </c>
      <c r="F14" s="247">
        <v>10</v>
      </c>
      <c r="G14" s="274">
        <v>9</v>
      </c>
      <c r="H14" s="502" t="s">
        <v>364</v>
      </c>
      <c r="I14" s="502"/>
      <c r="J14" s="502"/>
      <c r="K14" s="502"/>
      <c r="L14" s="502"/>
      <c r="M14" s="277">
        <f t="array" ref="M14">[1]!IEPtransportation</f>
        <v>0</v>
      </c>
      <c r="N14" s="15"/>
      <c r="O14" s="247">
        <v>9</v>
      </c>
      <c r="R14" s="257"/>
      <c r="S14" s="257"/>
    </row>
    <row r="15" spans="1:19" ht="12.75" customHeight="1">
      <c r="A15" s="272">
        <v>11</v>
      </c>
      <c r="B15" s="129" t="s">
        <v>73</v>
      </c>
      <c r="C15" s="129"/>
      <c r="D15" s="273">
        <f>[1]!FP1250AEA</f>
        <v>0</v>
      </c>
      <c r="E15" s="14">
        <v>0</v>
      </c>
      <c r="F15" s="247">
        <v>11</v>
      </c>
      <c r="H15" s="502"/>
      <c r="I15" s="502"/>
      <c r="J15" s="502"/>
      <c r="K15" s="502"/>
      <c r="L15" s="502"/>
      <c r="N15" s="257"/>
      <c r="O15" s="247"/>
      <c r="R15" s="257"/>
      <c r="S15" s="257"/>
    </row>
    <row r="16" spans="1:19" ht="12" customHeight="1">
      <c r="A16" s="272">
        <v>12</v>
      </c>
      <c r="B16" s="129" t="s">
        <v>74</v>
      </c>
      <c r="C16" s="129"/>
      <c r="D16" s="273">
        <f>[1]!FP12601270VocEd</f>
        <v>0</v>
      </c>
      <c r="E16" s="14">
        <v>0</v>
      </c>
      <c r="F16" s="247">
        <v>12</v>
      </c>
      <c r="G16" s="274"/>
      <c r="H16" s="129"/>
      <c r="I16" s="129"/>
      <c r="J16" s="129"/>
      <c r="K16" s="129"/>
      <c r="M16" s="278"/>
      <c r="N16" s="278"/>
      <c r="O16" s="247"/>
      <c r="R16" s="257"/>
      <c r="S16" s="257"/>
    </row>
    <row r="17" spans="1:19" ht="12" customHeight="1">
      <c r="A17" s="272">
        <v>13</v>
      </c>
      <c r="B17" s="129" t="s">
        <v>75</v>
      </c>
      <c r="C17" s="129"/>
      <c r="D17" s="273">
        <f>[1]!FP1280TitleX</f>
        <v>0</v>
      </c>
      <c r="E17" s="14">
        <v>0</v>
      </c>
      <c r="F17" s="247">
        <v>13</v>
      </c>
      <c r="G17" s="274"/>
      <c r="H17" s="269" t="s">
        <v>205</v>
      </c>
      <c r="I17" s="270"/>
      <c r="J17" s="270"/>
      <c r="K17" s="270"/>
      <c r="L17" s="270"/>
      <c r="M17" s="278"/>
      <c r="N17" s="278"/>
      <c r="O17" s="247"/>
      <c r="R17" s="257"/>
      <c r="S17" s="257"/>
    </row>
    <row r="18" spans="1:19" ht="12" customHeight="1">
      <c r="A18" s="272">
        <v>14</v>
      </c>
      <c r="B18" s="129" t="s">
        <v>31</v>
      </c>
      <c r="C18" s="129"/>
      <c r="D18" s="273">
        <f>[1]!FP1290Medicaid</f>
        <v>0</v>
      </c>
      <c r="E18" s="14">
        <v>0</v>
      </c>
      <c r="F18" s="247">
        <v>14</v>
      </c>
      <c r="G18" s="274"/>
      <c r="H18" s="223" t="s">
        <v>52</v>
      </c>
      <c r="M18" s="279"/>
      <c r="N18" s="279"/>
      <c r="R18" s="257"/>
      <c r="S18" s="257"/>
    </row>
    <row r="19" spans="1:19" ht="12" customHeight="1">
      <c r="A19" s="272">
        <v>15</v>
      </c>
      <c r="B19" s="129" t="s">
        <v>37</v>
      </c>
      <c r="C19" s="129"/>
      <c r="D19" s="277">
        <f>[1]!FP1300Charter</f>
        <v>0</v>
      </c>
      <c r="E19" s="15">
        <v>0</v>
      </c>
      <c r="F19" s="247">
        <v>15</v>
      </c>
      <c r="G19" s="274"/>
      <c r="H19" s="129"/>
      <c r="I19" s="129"/>
      <c r="J19" s="129"/>
      <c r="K19" s="129"/>
      <c r="M19" s="501" t="s">
        <v>487</v>
      </c>
      <c r="N19" s="501" t="s">
        <v>484</v>
      </c>
      <c r="R19" s="257"/>
      <c r="S19" s="257"/>
    </row>
    <row r="20" spans="1:19" ht="12" customHeight="1">
      <c r="A20" s="272">
        <v>16</v>
      </c>
      <c r="B20" s="129" t="s">
        <v>96</v>
      </c>
      <c r="C20" s="129"/>
      <c r="D20" s="280">
        <f>[1]!FP13__ImpactAid</f>
        <v>0</v>
      </c>
      <c r="E20" s="19">
        <v>0</v>
      </c>
      <c r="F20" s="247">
        <v>16</v>
      </c>
      <c r="G20" s="274"/>
      <c r="H20" s="129"/>
      <c r="I20" s="129"/>
      <c r="J20" s="129"/>
      <c r="K20" s="129"/>
      <c r="M20" s="501"/>
      <c r="N20" s="501"/>
      <c r="R20" s="257"/>
      <c r="S20" s="257"/>
    </row>
    <row r="21" spans="1:19" ht="12" customHeight="1" thickBot="1">
      <c r="A21" s="272">
        <v>17</v>
      </c>
      <c r="B21" s="281" t="s">
        <v>35</v>
      </c>
      <c r="C21" s="275"/>
      <c r="D21" s="282">
        <f>[1]!FP13101399Other</f>
        <v>263585</v>
      </c>
      <c r="E21" s="16">
        <f>7500+80220</f>
        <v>87720</v>
      </c>
      <c r="F21" s="247">
        <v>17</v>
      </c>
      <c r="G21" s="272" t="s">
        <v>17</v>
      </c>
      <c r="H21" s="223" t="s">
        <v>234</v>
      </c>
      <c r="I21" s="223"/>
      <c r="J21" s="129"/>
      <c r="K21" s="129"/>
      <c r="M21" s="277">
        <f>[1]!IIPTeacherCompensationIncreases</f>
        <v>0</v>
      </c>
      <c r="N21" s="15"/>
      <c r="O21" s="272" t="s">
        <v>17</v>
      </c>
      <c r="R21" s="257"/>
      <c r="S21" s="257"/>
    </row>
    <row r="22" spans="1:19" ht="12" customHeight="1" thickBot="1">
      <c r="A22" s="272">
        <v>18</v>
      </c>
      <c r="B22" s="129" t="s">
        <v>470</v>
      </c>
      <c r="C22" s="129"/>
      <c r="D22" s="283">
        <f>SUM(D5:D21)</f>
        <v>349956</v>
      </c>
      <c r="E22" s="283">
        <f>SUM(E5:E21)</f>
        <v>190371</v>
      </c>
      <c r="F22" s="247">
        <v>18</v>
      </c>
      <c r="G22" s="272" t="s">
        <v>18</v>
      </c>
      <c r="H22" s="129" t="s">
        <v>235</v>
      </c>
      <c r="I22" s="129"/>
      <c r="J22" s="284"/>
      <c r="M22" s="277">
        <f>[1]!IIPClassSizeReduction</f>
        <v>5434</v>
      </c>
      <c r="N22" s="15">
        <v>7851</v>
      </c>
      <c r="O22" s="272" t="s">
        <v>18</v>
      </c>
      <c r="R22" s="257"/>
      <c r="S22" s="257"/>
    </row>
    <row r="23" spans="1:19" ht="12.75" customHeight="1" thickTop="1">
      <c r="A23" s="285" t="s">
        <v>213</v>
      </c>
      <c r="B23" s="129"/>
      <c r="C23" s="129"/>
      <c r="D23" s="235"/>
      <c r="E23" s="286"/>
      <c r="F23" s="247"/>
      <c r="G23" s="272" t="s">
        <v>47</v>
      </c>
      <c r="H23" s="275" t="s">
        <v>236</v>
      </c>
      <c r="I23" s="275"/>
      <c r="J23" s="276"/>
      <c r="K23" s="287"/>
      <c r="M23" s="277">
        <f>[1]!IIPDropoutPreventionPrograms</f>
        <v>0</v>
      </c>
      <c r="N23" s="15"/>
      <c r="O23" s="272" t="s">
        <v>47</v>
      </c>
      <c r="R23" s="257"/>
      <c r="S23" s="257"/>
    </row>
    <row r="24" spans="1:19" ht="12" customHeight="1">
      <c r="A24" s="272">
        <v>19</v>
      </c>
      <c r="B24" s="129" t="s">
        <v>22</v>
      </c>
      <c r="C24" s="129"/>
      <c r="D24" s="243">
        <f>[1]!SP1400VocEd</f>
        <v>0</v>
      </c>
      <c r="E24" s="2">
        <v>0</v>
      </c>
      <c r="F24" s="247">
        <v>19</v>
      </c>
      <c r="G24" s="272" t="s">
        <v>48</v>
      </c>
      <c r="H24" s="275" t="s">
        <v>237</v>
      </c>
      <c r="I24" s="275"/>
      <c r="J24" s="276"/>
      <c r="K24" s="287"/>
      <c r="M24" s="277">
        <f>[1]!IIPInstructionalImprovementPrograms</f>
        <v>5000</v>
      </c>
      <c r="N24" s="15"/>
      <c r="O24" s="272" t="s">
        <v>48</v>
      </c>
      <c r="R24" s="257"/>
      <c r="S24" s="257"/>
    </row>
    <row r="25" spans="1:19" ht="12" customHeight="1" thickBot="1">
      <c r="A25" s="272">
        <v>20</v>
      </c>
      <c r="B25" s="129" t="s">
        <v>32</v>
      </c>
      <c r="C25" s="129"/>
      <c r="D25" s="273">
        <f>[1]!SP1410EarlyChildhoodBlockGrant</f>
        <v>0</v>
      </c>
      <c r="E25" s="14">
        <v>0</v>
      </c>
      <c r="F25" s="247">
        <v>20</v>
      </c>
      <c r="G25" s="272" t="s">
        <v>49</v>
      </c>
      <c r="H25" s="223" t="s">
        <v>206</v>
      </c>
      <c r="I25" s="223"/>
      <c r="J25" s="129"/>
      <c r="K25" s="129"/>
      <c r="M25" s="283">
        <f>SUM(M21:M24)</f>
        <v>10434</v>
      </c>
      <c r="N25" s="283">
        <f>SUM(N21:N24)</f>
        <v>7851</v>
      </c>
      <c r="O25" s="272" t="s">
        <v>49</v>
      </c>
      <c r="R25" s="257"/>
      <c r="S25" s="257"/>
    </row>
    <row r="26" spans="1:19" ht="12" customHeight="1" thickTop="1">
      <c r="A26" s="272">
        <v>21</v>
      </c>
      <c r="B26" s="129" t="s">
        <v>76</v>
      </c>
      <c r="C26" s="129"/>
      <c r="D26" s="273">
        <f>[1]!FP1420ExtendedSchool</f>
        <v>0</v>
      </c>
      <c r="E26" s="14">
        <v>0</v>
      </c>
      <c r="F26" s="247">
        <v>21</v>
      </c>
      <c r="K26" s="284"/>
      <c r="R26" s="257"/>
      <c r="S26" s="257"/>
    </row>
    <row r="27" spans="1:19" ht="12" customHeight="1">
      <c r="A27" s="272">
        <v>22</v>
      </c>
      <c r="B27" s="129" t="s">
        <v>23</v>
      </c>
      <c r="C27" s="129"/>
      <c r="D27" s="273">
        <f>[1]!SP1425AdultBasicEd</f>
        <v>0</v>
      </c>
      <c r="E27" s="14">
        <v>0</v>
      </c>
      <c r="F27" s="247">
        <v>22</v>
      </c>
      <c r="H27" s="266" t="s">
        <v>188</v>
      </c>
      <c r="I27" s="144"/>
      <c r="J27" s="144"/>
      <c r="L27" s="269" t="s">
        <v>189</v>
      </c>
      <c r="M27" s="288"/>
      <c r="N27" s="288"/>
      <c r="O27" s="247"/>
      <c r="R27" s="257"/>
      <c r="S27" s="257"/>
    </row>
    <row r="28" spans="1:19" ht="12" customHeight="1">
      <c r="A28" s="272">
        <v>23</v>
      </c>
      <c r="B28" s="129" t="s">
        <v>24</v>
      </c>
      <c r="C28" s="129"/>
      <c r="D28" s="273">
        <f>[1]!SP1430ChemicalAbuse</f>
        <v>0</v>
      </c>
      <c r="E28" s="14">
        <v>0</v>
      </c>
      <c r="F28" s="247">
        <v>23</v>
      </c>
      <c r="H28" s="266" t="s">
        <v>210</v>
      </c>
      <c r="I28" s="144"/>
      <c r="J28" s="144"/>
      <c r="L28" s="144" t="s">
        <v>16</v>
      </c>
      <c r="M28" s="144"/>
      <c r="N28" s="144"/>
    </row>
    <row r="29" spans="1:19" ht="12" customHeight="1">
      <c r="A29" s="272">
        <v>24</v>
      </c>
      <c r="B29" s="129" t="s">
        <v>25</v>
      </c>
      <c r="C29" s="129"/>
      <c r="D29" s="273">
        <f>[1]!SP1435AcademicContests</f>
        <v>0</v>
      </c>
      <c r="E29" s="14">
        <v>0</v>
      </c>
      <c r="F29" s="247">
        <v>24</v>
      </c>
      <c r="H29" t="s">
        <v>315</v>
      </c>
      <c r="I29" s="33" t="s">
        <v>15</v>
      </c>
      <c r="J29" s="9">
        <v>4</v>
      </c>
      <c r="L29" s="42" t="s">
        <v>238</v>
      </c>
      <c r="N29" s="3">
        <v>9500</v>
      </c>
    </row>
    <row r="30" spans="1:19" ht="12" customHeight="1">
      <c r="A30" s="272">
        <v>25</v>
      </c>
      <c r="B30" s="129" t="s">
        <v>62</v>
      </c>
      <c r="C30" s="129"/>
      <c r="D30" s="273">
        <f>[1]!SP1450GiftedEd</f>
        <v>0</v>
      </c>
      <c r="E30" s="14">
        <v>0</v>
      </c>
      <c r="F30" s="247">
        <v>25</v>
      </c>
      <c r="G30" s="102"/>
      <c r="H30" t="s">
        <v>316</v>
      </c>
      <c r="I30" s="33" t="s">
        <v>15</v>
      </c>
      <c r="J30" s="20">
        <v>8</v>
      </c>
      <c r="K30" s="129"/>
      <c r="L30" s="42" t="s">
        <v>239</v>
      </c>
      <c r="N30" s="3">
        <f>SP1000P100F1000+SP1000P200F1000+CSPTotal+TotalInstructionalImprovement+25000+10000+15000</f>
        <v>771059</v>
      </c>
      <c r="O30" s="101"/>
    </row>
    <row r="31" spans="1:19" ht="12" customHeight="1">
      <c r="A31" s="272">
        <v>26</v>
      </c>
      <c r="B31" s="275" t="s">
        <v>102</v>
      </c>
      <c r="C31" s="275"/>
      <c r="D31" s="273">
        <f>'[1]Page 2'!$E$31</f>
        <v>0</v>
      </c>
      <c r="E31" s="14">
        <v>0</v>
      </c>
      <c r="F31" s="247">
        <v>26</v>
      </c>
      <c r="I31" s="33"/>
      <c r="J31" s="289"/>
      <c r="L31" s="42"/>
      <c r="N31" s="257"/>
      <c r="O31" s="101"/>
    </row>
    <row r="32" spans="1:19" ht="12" customHeight="1">
      <c r="A32" s="272">
        <v>27</v>
      </c>
      <c r="B32" s="129" t="s">
        <v>26</v>
      </c>
      <c r="C32" s="129"/>
      <c r="D32" s="273">
        <f>[1]!SP1460EnvironmentalSpecialPlate</f>
        <v>0</v>
      </c>
      <c r="E32" s="14">
        <v>0</v>
      </c>
      <c r="F32" s="247">
        <v>27</v>
      </c>
      <c r="H32" s="290" t="s">
        <v>191</v>
      </c>
      <c r="I32" s="291"/>
      <c r="J32" s="292"/>
      <c r="K32" s="293"/>
      <c r="L32" s="293"/>
      <c r="M32" s="293"/>
      <c r="O32" s="101"/>
    </row>
    <row r="33" spans="1:15" ht="12" customHeight="1">
      <c r="A33" s="272">
        <v>28</v>
      </c>
      <c r="B33" s="129" t="s">
        <v>36</v>
      </c>
      <c r="C33" s="129"/>
      <c r="D33" s="273">
        <f>[1]!SP1465CharterSchool</f>
        <v>0</v>
      </c>
      <c r="E33" s="14">
        <v>0</v>
      </c>
      <c r="F33" s="247">
        <v>28</v>
      </c>
      <c r="H33" s="290" t="s">
        <v>190</v>
      </c>
      <c r="I33" s="291"/>
      <c r="J33" s="292"/>
      <c r="K33" s="293"/>
      <c r="L33" s="293"/>
      <c r="M33" s="293"/>
    </row>
    <row r="34" spans="1:15" ht="12" customHeight="1">
      <c r="A34" s="272">
        <v>29</v>
      </c>
      <c r="B34" s="281" t="s">
        <v>376</v>
      </c>
      <c r="C34" s="294"/>
      <c r="D34" s="273">
        <f>'[1]Page 2'!$E$35</f>
        <v>0</v>
      </c>
      <c r="E34" s="14">
        <v>0</v>
      </c>
      <c r="F34" s="247">
        <v>29</v>
      </c>
      <c r="H34" s="129" t="s">
        <v>348</v>
      </c>
      <c r="K34" s="144"/>
      <c r="M34" s="295"/>
    </row>
    <row r="35" spans="1:15" ht="12" customHeight="1" thickBot="1">
      <c r="A35" s="272">
        <v>30</v>
      </c>
      <c r="B35" s="281" t="s">
        <v>511</v>
      </c>
      <c r="C35" s="281"/>
      <c r="D35" s="273">
        <f>[1]!SP14701499Other</f>
        <v>0</v>
      </c>
      <c r="E35" s="14">
        <v>0</v>
      </c>
      <c r="F35" s="247">
        <v>30</v>
      </c>
      <c r="H35" s="129" t="s">
        <v>344</v>
      </c>
      <c r="M35" s="295"/>
      <c r="N35" s="3">
        <v>20500</v>
      </c>
    </row>
    <row r="36" spans="1:15" ht="12" customHeight="1" thickBot="1">
      <c r="A36" s="272">
        <v>31</v>
      </c>
      <c r="B36" s="129" t="s">
        <v>490</v>
      </c>
      <c r="C36" s="129"/>
      <c r="D36" s="296">
        <f>SUM(D24:D35)</f>
        <v>0</v>
      </c>
      <c r="E36" s="296">
        <f>SUM(E24:E35)</f>
        <v>0</v>
      </c>
      <c r="F36" s="247">
        <v>31</v>
      </c>
      <c r="H36" s="129"/>
      <c r="K36" s="144"/>
      <c r="O36" s="272"/>
    </row>
    <row r="37" spans="1:15" ht="12" customHeight="1" thickTop="1" thickBot="1">
      <c r="A37" s="272">
        <v>32</v>
      </c>
      <c r="B37" s="129" t="s">
        <v>491</v>
      </c>
      <c r="C37" s="129"/>
      <c r="D37" s="283">
        <f>D22+D36</f>
        <v>349956</v>
      </c>
      <c r="E37" s="283">
        <f>E22+E36</f>
        <v>190371</v>
      </c>
      <c r="F37" s="247">
        <v>32</v>
      </c>
      <c r="G37" s="222"/>
      <c r="H37" s="297" t="s">
        <v>359</v>
      </c>
      <c r="N37" s="298"/>
      <c r="O37" s="272"/>
    </row>
    <row r="38" spans="1:15" ht="12" customHeight="1" thickTop="1">
      <c r="A38" s="102"/>
      <c r="F38" s="247"/>
      <c r="G38" s="299"/>
      <c r="H38" s="129" t="s">
        <v>360</v>
      </c>
      <c r="I38" s="266"/>
      <c r="J38" s="300"/>
      <c r="K38" s="266"/>
      <c r="L38" s="300"/>
      <c r="M38" s="266"/>
      <c r="N38" s="3">
        <v>21631</v>
      </c>
      <c r="O38" s="272"/>
    </row>
    <row r="39" spans="1:15" ht="13.5" customHeight="1">
      <c r="B39" s="301" t="s">
        <v>209</v>
      </c>
      <c r="C39" s="269"/>
      <c r="D39" s="271" t="s">
        <v>489</v>
      </c>
      <c r="E39" s="271" t="s">
        <v>488</v>
      </c>
      <c r="F39" s="247"/>
      <c r="G39" s="299"/>
      <c r="H39" s="129" t="s">
        <v>381</v>
      </c>
      <c r="I39" s="129"/>
      <c r="J39" s="129"/>
      <c r="K39" s="129"/>
      <c r="L39" s="129"/>
      <c r="M39" s="129"/>
      <c r="N39" s="3">
        <f>11190+203219+60000</f>
        <v>274409</v>
      </c>
      <c r="O39" s="272"/>
    </row>
    <row r="40" spans="1:15">
      <c r="A40" s="274">
        <v>1</v>
      </c>
      <c r="B40" t="s">
        <v>363</v>
      </c>
      <c r="D40" s="273">
        <f t="array" ref="D40">[1]!CA0181IntangibleAssets</f>
        <v>0</v>
      </c>
      <c r="E40" s="3">
        <v>0</v>
      </c>
      <c r="F40" s="247">
        <v>1</v>
      </c>
      <c r="G40" s="272"/>
      <c r="H40" s="284"/>
      <c r="I40" s="284"/>
      <c r="J40" s="284"/>
      <c r="K40" s="284"/>
      <c r="L40" s="284"/>
      <c r="M40" s="284"/>
      <c r="N40" s="257"/>
      <c r="O40" s="272"/>
    </row>
    <row r="41" spans="1:15" ht="12" customHeight="1">
      <c r="A41" s="274">
        <v>2</v>
      </c>
      <c r="B41" s="129" t="s">
        <v>321</v>
      </c>
      <c r="D41" s="243">
        <f>[1]!CA0191Land</f>
        <v>0</v>
      </c>
      <c r="E41" s="3">
        <v>0</v>
      </c>
      <c r="F41" s="247">
        <v>2</v>
      </c>
      <c r="G41" s="272"/>
      <c r="H41" s="297" t="s">
        <v>369</v>
      </c>
      <c r="I41" s="297"/>
      <c r="J41" s="129"/>
      <c r="K41" s="278"/>
      <c r="L41" s="284"/>
      <c r="M41" s="501" t="s">
        <v>487</v>
      </c>
      <c r="N41" s="501" t="s">
        <v>484</v>
      </c>
      <c r="O41" s="272"/>
    </row>
    <row r="42" spans="1:15" ht="12" customHeight="1">
      <c r="A42" s="274">
        <v>3</v>
      </c>
      <c r="B42" s="129" t="s">
        <v>322</v>
      </c>
      <c r="D42" s="243">
        <f>[1]!CA0192SiteImprovements</f>
        <v>16574</v>
      </c>
      <c r="E42" s="2">
        <v>0</v>
      </c>
      <c r="F42" s="247">
        <v>3</v>
      </c>
      <c r="G42" s="299"/>
      <c r="H42" s="297" t="s">
        <v>370</v>
      </c>
      <c r="I42" s="275"/>
      <c r="J42" s="129"/>
      <c r="K42" s="278"/>
      <c r="L42" s="284"/>
      <c r="M42" s="501"/>
      <c r="N42" s="501"/>
      <c r="O42" s="302"/>
    </row>
    <row r="43" spans="1:15" ht="12" customHeight="1">
      <c r="A43" s="274">
        <v>4</v>
      </c>
      <c r="B43" s="129" t="s">
        <v>323</v>
      </c>
      <c r="D43" s="243">
        <f>[1]!CA0194Buildings</f>
        <v>0</v>
      </c>
      <c r="E43" s="2">
        <v>51297</v>
      </c>
      <c r="F43" s="247">
        <v>4</v>
      </c>
      <c r="G43" s="272">
        <v>1</v>
      </c>
      <c r="H43" s="129" t="s">
        <v>366</v>
      </c>
      <c r="I43" s="303"/>
      <c r="J43" s="129"/>
      <c r="K43" s="278"/>
      <c r="L43" s="303"/>
      <c r="M43" s="304">
        <f t="array" ref="M43">[1]!FTEcertified</f>
        <v>8.3800000000000008</v>
      </c>
      <c r="N43" s="28">
        <v>7.33</v>
      </c>
      <c r="O43" s="247">
        <v>1</v>
      </c>
    </row>
    <row r="44" spans="1:15" ht="12" customHeight="1">
      <c r="A44" s="274">
        <v>5</v>
      </c>
      <c r="B44" s="129" t="s">
        <v>63</v>
      </c>
      <c r="D44" s="243">
        <f>[1]!CA0196Equipment</f>
        <v>14317</v>
      </c>
      <c r="E44" s="2">
        <v>0</v>
      </c>
      <c r="F44" s="247">
        <v>5</v>
      </c>
      <c r="G44" s="272">
        <v>2</v>
      </c>
      <c r="H44" s="129" t="s">
        <v>367</v>
      </c>
      <c r="J44" s="129"/>
      <c r="K44" s="278"/>
      <c r="L44" s="303"/>
      <c r="M44" s="304">
        <f t="array" ref="M44">[1]!FTEnoncertified</f>
        <v>3.01</v>
      </c>
      <c r="N44" s="28">
        <v>3.8</v>
      </c>
      <c r="O44" s="247">
        <v>2</v>
      </c>
    </row>
    <row r="45" spans="1:15" ht="12" customHeight="1" thickBot="1">
      <c r="A45" s="102">
        <v>6</v>
      </c>
      <c r="B45" s="129" t="s">
        <v>324</v>
      </c>
      <c r="D45" s="305">
        <f>[1]!CA0198CIP</f>
        <v>0</v>
      </c>
      <c r="E45" s="10">
        <v>0</v>
      </c>
      <c r="F45" s="247">
        <v>6</v>
      </c>
      <c r="G45" s="272">
        <v>3</v>
      </c>
      <c r="H45" s="129" t="s">
        <v>368</v>
      </c>
      <c r="I45" s="303"/>
      <c r="J45" s="129"/>
      <c r="K45" s="278"/>
      <c r="L45" s="303"/>
      <c r="M45" s="304">
        <f t="array" ref="M45">[1]!FTEcontract</f>
        <v>0</v>
      </c>
      <c r="N45" s="28">
        <v>0</v>
      </c>
      <c r="O45" s="247">
        <v>3</v>
      </c>
    </row>
    <row r="46" spans="1:15" ht="12" customHeight="1" thickBot="1">
      <c r="A46" s="306">
        <v>7</v>
      </c>
      <c r="B46" s="129" t="s">
        <v>390</v>
      </c>
      <c r="D46" s="283">
        <f>SUM(D40:D45)</f>
        <v>30891</v>
      </c>
      <c r="E46" s="283">
        <f>SUM(E40:E45)</f>
        <v>51297</v>
      </c>
      <c r="F46" s="247">
        <v>7</v>
      </c>
      <c r="G46" s="302"/>
      <c r="H46" s="307"/>
      <c r="I46" s="303"/>
      <c r="J46" s="129"/>
      <c r="K46" s="278"/>
      <c r="L46" s="303"/>
      <c r="M46" s="308"/>
      <c r="N46" s="308"/>
    </row>
    <row r="47" spans="1:15" ht="13.5" customHeight="1" thickTop="1">
      <c r="G47" s="302"/>
      <c r="N47" s="278"/>
    </row>
    <row r="48" spans="1:15" ht="13.5" customHeight="1">
      <c r="A48" s="306">
        <v>8</v>
      </c>
      <c r="B48" s="497" t="s">
        <v>391</v>
      </c>
      <c r="C48" s="498"/>
      <c r="D48" s="250">
        <f>[1]!CAK3Reading</f>
        <v>0</v>
      </c>
      <c r="E48" s="3">
        <v>0</v>
      </c>
      <c r="F48" s="247">
        <v>8</v>
      </c>
    </row>
    <row r="49" spans="9:9" ht="27" customHeight="1"/>
    <row r="50" spans="9:9" ht="12.75" customHeight="1">
      <c r="I50" s="42"/>
    </row>
  </sheetData>
  <sheetProtection sheet="1" objects="1" scenarios="1"/>
  <mergeCells count="11">
    <mergeCell ref="Q3:Q4"/>
    <mergeCell ref="R3:R4"/>
    <mergeCell ref="C1:F1"/>
    <mergeCell ref="I1:K1"/>
    <mergeCell ref="B48:C48"/>
    <mergeCell ref="A3:C3"/>
    <mergeCell ref="M19:M20"/>
    <mergeCell ref="N19:N20"/>
    <mergeCell ref="M41:M42"/>
    <mergeCell ref="N41:N42"/>
    <mergeCell ref="H14:L15"/>
  </mergeCells>
  <conditionalFormatting sqref="N12">
    <cfRule type="cellIs" dxfId="0" priority="1" stopIfTrue="1" operator="equal">
      <formula>"Invalid"</formula>
    </cfRule>
  </conditionalFormatting>
  <hyperlinks>
    <hyperlink ref="H3:N3" location="Pg2SpecialEd" display="SPECIAL EDUCATION PROGRAMS BY TYPE" xr:uid="{00000000-0004-0000-0300-000000000000}"/>
    <hyperlink ref="B39:C39" location="CapitalAcquisitions" display="CAPITAL ACQUISITIONS" xr:uid="{00000000-0004-0000-0300-000001000000}"/>
    <hyperlink ref="A3:E3" location="TotalFederalAndStateProjects" display="FEDERAL AND STATE PROJECTS" xr:uid="{00000000-0004-0000-0300-000002000000}"/>
    <hyperlink ref="H17:K17" r:id="rId1" display="INSTRUCTIONAL IMPROVEMENT PROJECT" xr:uid="{00000000-0004-0000-0300-000003000000}"/>
    <hyperlink ref="H17:L17" location="Pg2InstructionalImprovementProj" display="INSTRUCTIONAL IMPROVEMENT PROJECT" xr:uid="{00000000-0004-0000-0300-000004000000}"/>
    <hyperlink ref="H23:K23" location="Pg2Lines3and4" display="Dropout Prevention Programs" xr:uid="{00000000-0004-0000-0300-000005000000}"/>
    <hyperlink ref="H24:K24" location="Pg2Lines3and4" display="Instructional Improvement Programs" xr:uid="{00000000-0004-0000-0300-000006000000}"/>
    <hyperlink ref="H5:J5" location="Pg2Line1" display="Total All Categories" xr:uid="{00000000-0004-0000-0300-000007000000}"/>
    <hyperlink ref="H32:M33" location="Pg2StateEqualAssist" display="STATE EQUALIZATION ASSISTANCE BUDGETED" xr:uid="{00000000-0004-0000-0300-000008000000}"/>
    <hyperlink ref="B31:C31" location="CollegeCreditExamIncentives" display="1456 College Credit Exam Incentives" xr:uid="{00000000-0004-0000-0300-000009000000}"/>
    <hyperlink ref="B34:C34" location="ArizonaIndustryCredentialsIncentives" display="14__  Arizona Industry Credentials Incentives" xr:uid="{00000000-0004-0000-0300-00000A000000}"/>
    <hyperlink ref="B21:C21" location="TotalFederalAndStateProjects" display="1310-1399  Other Federal Projects" xr:uid="{00000000-0004-0000-0300-00000B000000}"/>
    <hyperlink ref="H37" location="Pg2DebtService" display="Debt service" xr:uid="{00000000-0004-0000-0300-00000C000000}"/>
    <hyperlink ref="H41:I41" location="pg2FTE" display="Estimated FTE Certified Employees" xr:uid="{00000000-0004-0000-0300-00000D000000}"/>
    <hyperlink ref="H14:J15" location="Pg2Line9" display="Expenses budgeted for transporting students with disabilities (as defined in A.R.S. §15-761) unique to the IEP" xr:uid="{00000000-0004-0000-0300-00000E000000}"/>
    <hyperlink ref="L27:N27" location="Pg2ExpensesByType" display="Selected expenses by type" xr:uid="{00000000-0004-0000-0300-00000F000000}"/>
    <hyperlink ref="H42" location="pg2FTE" display="[A.R.S. §15-903(E)(2)]" xr:uid="{00000000-0004-0000-0300-000010000000}"/>
    <hyperlink ref="B35" location="OtherStateProjects" display="Other State Projects" xr:uid="{00000000-0004-0000-0300-000011000000}"/>
  </hyperlinks>
  <printOptions horizontalCentered="1" verticalCentered="1"/>
  <pageMargins left="0.75" right="0.5" top="0.25" bottom="0.25" header="0" footer="0"/>
  <pageSetup paperSize="5" scale="75" orientation="landscape" r:id="rId2"/>
  <headerFooter>
    <oddFooter>&amp;L&amp;"Arial,Bold"Rev. 5/23 Arizona Department of Education and Auditor General&amp;R&amp;"Arial,Bold"Page 2 of 4</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9"/>
  <sheetViews>
    <sheetView showGridLines="0" workbookViewId="0">
      <selection activeCell="G9" sqref="G9"/>
    </sheetView>
  </sheetViews>
  <sheetFormatPr defaultColWidth="9" defaultRowHeight="12.75" customHeight="1"/>
  <cols>
    <col min="1" max="2" width="1.5703125" customWidth="1"/>
    <col min="3" max="3" width="14.5703125" customWidth="1"/>
    <col min="4" max="4" width="52.42578125" customWidth="1"/>
    <col min="5" max="5" width="3.5703125" customWidth="1"/>
    <col min="6" max="12" width="15.42578125" customWidth="1"/>
    <col min="13" max="13" width="3.5703125" customWidth="1"/>
    <col min="14" max="15" width="13.5703125" customWidth="1"/>
    <col min="16" max="16" width="4" customWidth="1"/>
    <col min="17" max="17" width="9" customWidth="1"/>
  </cols>
  <sheetData>
    <row r="1" spans="1:14">
      <c r="A1" t="s">
        <v>181</v>
      </c>
      <c r="D1" s="34" t="str">
        <f>CharterName</f>
        <v>Legacy Education Group, Inc.</v>
      </c>
      <c r="E1" s="42"/>
      <c r="F1" s="33" t="s">
        <v>185</v>
      </c>
      <c r="G1" s="162" t="str">
        <f>Cover!M1</f>
        <v>Maricopa</v>
      </c>
      <c r="H1" s="113"/>
      <c r="I1" s="113"/>
      <c r="J1" s="113"/>
      <c r="K1" s="33" t="s">
        <v>220</v>
      </c>
      <c r="L1" s="36" t="str">
        <f>CTD</f>
        <v>078507000</v>
      </c>
      <c r="M1" s="113"/>
    </row>
    <row r="2" spans="1:14" ht="12.75" customHeight="1">
      <c r="A2" s="144"/>
      <c r="B2" s="144"/>
      <c r="C2" s="144"/>
      <c r="D2" s="144"/>
      <c r="E2" s="144"/>
      <c r="F2" s="144"/>
      <c r="G2" s="144"/>
      <c r="H2" s="144"/>
      <c r="I2" s="144"/>
      <c r="J2" s="144"/>
      <c r="K2" s="144"/>
    </row>
    <row r="3" spans="1:14">
      <c r="A3" s="144"/>
      <c r="B3" s="144"/>
      <c r="C3" s="144"/>
      <c r="D3" s="144"/>
      <c r="E3" s="144"/>
      <c r="F3" s="144"/>
      <c r="G3" s="144"/>
      <c r="H3" s="144"/>
      <c r="I3" s="144"/>
      <c r="J3" s="144"/>
      <c r="K3" s="144"/>
    </row>
    <row r="4" spans="1:14">
      <c r="A4" s="309"/>
      <c r="B4" s="310"/>
      <c r="C4" s="310"/>
      <c r="D4" s="503"/>
      <c r="E4" s="311"/>
      <c r="F4" s="312"/>
      <c r="G4" s="234" t="s">
        <v>46</v>
      </c>
      <c r="H4" s="313" t="s">
        <v>9</v>
      </c>
      <c r="I4" s="314"/>
      <c r="J4" s="488" t="s">
        <v>27</v>
      </c>
      <c r="K4" s="489"/>
      <c r="L4" s="314" t="s">
        <v>29</v>
      </c>
    </row>
    <row r="5" spans="1:14" ht="12.75" customHeight="1">
      <c r="A5" s="315" t="s">
        <v>45</v>
      </c>
      <c r="D5" s="495"/>
      <c r="E5" s="97"/>
      <c r="F5" s="231" t="s">
        <v>10</v>
      </c>
      <c r="G5" s="118" t="s">
        <v>227</v>
      </c>
      <c r="H5" s="316" t="s">
        <v>225</v>
      </c>
      <c r="I5" s="231" t="s">
        <v>11</v>
      </c>
      <c r="J5" s="231" t="s">
        <v>228</v>
      </c>
      <c r="K5" s="231" t="s">
        <v>229</v>
      </c>
      <c r="L5" s="231" t="s">
        <v>30</v>
      </c>
    </row>
    <row r="6" spans="1:14">
      <c r="A6" s="73"/>
      <c r="B6" s="145"/>
      <c r="C6" s="145"/>
      <c r="D6" s="145"/>
      <c r="E6" s="317"/>
      <c r="F6" s="238">
        <v>6100</v>
      </c>
      <c r="G6" s="318">
        <v>6200</v>
      </c>
      <c r="H6" s="316" t="s">
        <v>97</v>
      </c>
      <c r="I6" s="231">
        <v>6600</v>
      </c>
      <c r="J6" s="231">
        <v>2023</v>
      </c>
      <c r="K6" s="231">
        <v>2024</v>
      </c>
      <c r="L6" s="231" t="s">
        <v>311</v>
      </c>
    </row>
    <row r="7" spans="1:14" ht="12.75" customHeight="1">
      <c r="A7" s="319" t="s">
        <v>362</v>
      </c>
      <c r="B7" s="320"/>
      <c r="C7" s="320"/>
      <c r="D7" s="320"/>
      <c r="F7" s="239"/>
      <c r="G7" s="240"/>
      <c r="H7" s="239"/>
      <c r="I7" s="239"/>
      <c r="J7" s="321"/>
      <c r="K7" s="240"/>
      <c r="L7" s="242"/>
      <c r="M7" s="322"/>
      <c r="N7" s="323"/>
    </row>
    <row r="8" spans="1:14">
      <c r="A8" s="56"/>
      <c r="C8" t="s">
        <v>14</v>
      </c>
      <c r="D8" s="230"/>
      <c r="E8" s="102">
        <v>1</v>
      </c>
      <c r="F8" s="2">
        <v>168119</v>
      </c>
      <c r="G8" s="17">
        <v>5628</v>
      </c>
      <c r="H8" s="2"/>
      <c r="I8" s="2"/>
      <c r="J8" s="252" cm="1">
        <f t="array" ref="J8">[1]!_xlbgnm.CSP1000</f>
        <v>131014</v>
      </c>
      <c r="K8" s="244">
        <f t="shared" ref="K8:K12" si="0">SUM(F8:I8)</f>
        <v>173747</v>
      </c>
      <c r="L8" s="248">
        <f t="shared" ref="L8:L13" si="1">IF(J8=0," ",(K8-J8)/J8)</f>
        <v>0.32600000000000001</v>
      </c>
      <c r="M8" s="247">
        <v>1</v>
      </c>
      <c r="N8" s="323"/>
    </row>
    <row r="9" spans="1:14" ht="12.75" customHeight="1">
      <c r="A9" s="56"/>
      <c r="C9" t="s">
        <v>317</v>
      </c>
      <c r="E9" s="102">
        <v>2</v>
      </c>
      <c r="F9" s="2"/>
      <c r="G9" s="2"/>
      <c r="H9" s="2"/>
      <c r="I9" s="2"/>
      <c r="J9" s="243" cm="1">
        <f t="array" ref="J9">[1]!_xlbgnm.CSP2100</f>
        <v>0</v>
      </c>
      <c r="K9" s="244">
        <f t="shared" si="0"/>
        <v>0</v>
      </c>
      <c r="L9" s="248" t="str">
        <f t="shared" si="1"/>
        <v xml:space="preserve"> </v>
      </c>
      <c r="M9" s="247">
        <v>2</v>
      </c>
      <c r="N9" s="323"/>
    </row>
    <row r="10" spans="1:14">
      <c r="A10" s="56"/>
      <c r="C10" t="s">
        <v>318</v>
      </c>
      <c r="E10" s="102">
        <v>3</v>
      </c>
      <c r="F10" s="2"/>
      <c r="G10" s="2"/>
      <c r="H10" s="2"/>
      <c r="I10" s="2"/>
      <c r="J10" s="243" cm="1">
        <f t="array" ref="J10">[1]!_xlbgnm.CSP2200</f>
        <v>0</v>
      </c>
      <c r="K10" s="244">
        <f t="shared" si="0"/>
        <v>0</v>
      </c>
      <c r="L10" s="248" t="str">
        <f t="shared" si="1"/>
        <v xml:space="preserve"> </v>
      </c>
      <c r="M10" s="247">
        <v>3</v>
      </c>
      <c r="N10" s="323"/>
    </row>
    <row r="11" spans="1:14">
      <c r="A11" s="56"/>
      <c r="C11" s="281" t="s">
        <v>320</v>
      </c>
      <c r="D11" s="281"/>
      <c r="E11" s="102">
        <v>4</v>
      </c>
      <c r="F11" s="262"/>
      <c r="G11" s="262"/>
      <c r="H11" s="2"/>
      <c r="I11" s="262"/>
      <c r="J11" s="243" cm="1">
        <f t="array" ref="J11">[1]!_xlbgnm.CSP2300</f>
        <v>0</v>
      </c>
      <c r="K11" s="244">
        <f t="shared" si="0"/>
        <v>0</v>
      </c>
      <c r="L11" s="256" t="str">
        <f t="shared" si="1"/>
        <v xml:space="preserve"> </v>
      </c>
      <c r="M11" s="247">
        <v>4</v>
      </c>
    </row>
    <row r="12" spans="1:14" ht="12.75" customHeight="1">
      <c r="A12" s="56"/>
      <c r="C12" t="s">
        <v>319</v>
      </c>
      <c r="E12" s="102">
        <v>5</v>
      </c>
      <c r="F12" s="3"/>
      <c r="G12" s="3"/>
      <c r="H12" s="2"/>
      <c r="I12" s="262"/>
      <c r="J12" s="243" cm="1">
        <f t="array" ref="J12">[1]!_xlbgnm.CSP3300</f>
        <v>0</v>
      </c>
      <c r="K12" s="244">
        <f t="shared" si="0"/>
        <v>0</v>
      </c>
      <c r="L12" s="248" t="str">
        <f t="shared" si="1"/>
        <v xml:space="preserve"> </v>
      </c>
      <c r="M12" s="247">
        <v>5</v>
      </c>
      <c r="N12" s="323"/>
    </row>
    <row r="13" spans="1:14" ht="12.75" customHeight="1">
      <c r="A13" s="79" t="s">
        <v>374</v>
      </c>
      <c r="B13" s="263"/>
      <c r="C13" s="263"/>
      <c r="D13" s="263"/>
      <c r="E13" s="324">
        <v>6</v>
      </c>
      <c r="F13" s="325">
        <f>SUM(F8:F12)</f>
        <v>168119</v>
      </c>
      <c r="G13" s="325">
        <f>SUM(G8:G12)</f>
        <v>5628</v>
      </c>
      <c r="H13" s="325">
        <f>SUM(H8:H12)</f>
        <v>0</v>
      </c>
      <c r="I13" s="325">
        <f>SUM(I8:I12)</f>
        <v>0</v>
      </c>
      <c r="J13" s="326" cm="1">
        <f t="array" ref="J13">[1]!CSPTotal</f>
        <v>131014</v>
      </c>
      <c r="K13" s="325">
        <f>SUM(F13:I13)</f>
        <v>173747</v>
      </c>
      <c r="L13" s="248">
        <f t="shared" si="1"/>
        <v>0.32600000000000001</v>
      </c>
      <c r="M13" s="247">
        <v>6</v>
      </c>
    </row>
    <row r="16" spans="1:14" ht="12.75" customHeight="1">
      <c r="A16" s="319" t="s">
        <v>398</v>
      </c>
      <c r="B16" s="327"/>
      <c r="C16" s="327"/>
      <c r="D16" s="327"/>
    </row>
    <row r="17" spans="3:6" ht="12.75" customHeight="1">
      <c r="C17" t="s">
        <v>382</v>
      </c>
      <c r="D17" s="222"/>
      <c r="F17" s="3"/>
    </row>
    <row r="18" spans="3:6" ht="12.75" customHeight="1">
      <c r="C18" t="s">
        <v>360</v>
      </c>
      <c r="D18" s="222"/>
      <c r="F18" s="2"/>
    </row>
    <row r="19" spans="3:6" ht="12.75" customHeight="1">
      <c r="C19" t="s">
        <v>381</v>
      </c>
      <c r="D19" s="222"/>
      <c r="F19" s="2"/>
    </row>
  </sheetData>
  <sheetProtection sheet="1" objects="1" scenarios="1"/>
  <mergeCells count="2">
    <mergeCell ref="J4:K4"/>
    <mergeCell ref="D4:D5"/>
  </mergeCells>
  <hyperlinks>
    <hyperlink ref="A7:D7" location="Pg3ClassroomSiteProj" display="Classroom Site Project 1011 - Base Salary" xr:uid="{00000000-0004-0000-0400-000000000000}"/>
    <hyperlink ref="C11" location="Page3ClassroomSiteProjectsFunc2300" display="2300 Support Services - General Administration" xr:uid="{00000000-0004-0000-0400-000002000000}"/>
    <hyperlink ref="A16:D16" location="Page3ClassroomSiteProjectsSubTable" display="Classroom Site Project 1010" xr:uid="{00000000-0004-0000-0400-000004000000}"/>
  </hyperlinks>
  <printOptions horizontalCentered="1"/>
  <pageMargins left="0.75" right="0.5" top="0.25" bottom="0.25" header="0" footer="0"/>
  <pageSetup paperSize="5" scale="68" orientation="landscape" horizontalDpi="300" verticalDpi="300" r:id="rId1"/>
  <headerFooter>
    <oddFooter>&amp;L&amp;"Arial,Bold"Rev. 5/23 Arizona Department of Education and Auditor General&amp;R&amp;"Arial,Bold"Page 3 of 4</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3"/>
  <sheetViews>
    <sheetView showGridLines="0" workbookViewId="0">
      <selection activeCell="G9" sqref="G9"/>
    </sheetView>
  </sheetViews>
  <sheetFormatPr defaultColWidth="9.140625" defaultRowHeight="12.75"/>
  <cols>
    <col min="1" max="2" width="1.5703125" customWidth="1"/>
    <col min="3" max="3" width="14.5703125" customWidth="1"/>
    <col min="4" max="4" width="27" customWidth="1"/>
    <col min="5" max="5" width="3.5703125" customWidth="1"/>
    <col min="6" max="7" width="7" customWidth="1"/>
    <col min="8" max="14" width="12.5703125" customWidth="1"/>
    <col min="15" max="15" width="11.5703125" customWidth="1"/>
    <col min="16" max="16" width="3.5703125" customWidth="1"/>
    <col min="17" max="17" width="7" customWidth="1"/>
  </cols>
  <sheetData>
    <row r="1" spans="1:16">
      <c r="A1" t="s">
        <v>163</v>
      </c>
      <c r="D1" s="493" t="str">
        <f>CharterName</f>
        <v>Legacy Education Group, Inc.</v>
      </c>
      <c r="E1" s="493"/>
      <c r="F1" s="493"/>
      <c r="G1" s="42"/>
      <c r="I1" s="33" t="s">
        <v>185</v>
      </c>
      <c r="J1" s="477" t="str">
        <f>Cover!M1</f>
        <v>Maricopa</v>
      </c>
      <c r="K1" s="477"/>
      <c r="M1" s="33" t="s">
        <v>220</v>
      </c>
      <c r="N1" s="494" t="str">
        <f>CTD</f>
        <v>078507000</v>
      </c>
      <c r="O1" s="494"/>
    </row>
    <row r="2" spans="1:16">
      <c r="A2" s="144"/>
      <c r="B2" s="144"/>
      <c r="C2" s="328"/>
      <c r="D2" s="144"/>
      <c r="E2" s="144"/>
      <c r="F2" s="144"/>
      <c r="G2" s="144"/>
      <c r="H2" s="144"/>
      <c r="I2" s="144"/>
      <c r="J2" s="144"/>
    </row>
    <row r="3" spans="1:16">
      <c r="A3" s="329"/>
      <c r="B3" s="330"/>
      <c r="C3" s="330"/>
      <c r="D3" s="503"/>
      <c r="E3" s="331"/>
      <c r="F3" s="332" t="s">
        <v>56</v>
      </c>
      <c r="G3" s="311"/>
      <c r="H3" s="242"/>
      <c r="I3" s="242"/>
      <c r="J3" s="314" t="s">
        <v>9</v>
      </c>
      <c r="K3" s="241"/>
      <c r="L3" s="241"/>
      <c r="M3" s="232" t="s">
        <v>27</v>
      </c>
      <c r="N3" s="233"/>
      <c r="O3" s="242"/>
    </row>
    <row r="4" spans="1:16">
      <c r="A4" s="315"/>
      <c r="D4" s="495"/>
      <c r="E4" s="97"/>
      <c r="F4" s="333" t="s">
        <v>240</v>
      </c>
      <c r="G4" s="334"/>
      <c r="H4" s="231"/>
      <c r="I4" s="231" t="s">
        <v>55</v>
      </c>
      <c r="J4" s="231" t="s">
        <v>225</v>
      </c>
      <c r="K4" s="235"/>
      <c r="L4" s="235"/>
      <c r="M4" s="235"/>
      <c r="N4" s="235"/>
      <c r="O4" s="231" t="s">
        <v>29</v>
      </c>
    </row>
    <row r="5" spans="1:16">
      <c r="A5" s="315" t="s">
        <v>45</v>
      </c>
      <c r="E5" s="97"/>
      <c r="F5" s="314" t="s">
        <v>94</v>
      </c>
      <c r="G5" s="314" t="s">
        <v>28</v>
      </c>
      <c r="H5" s="231" t="s">
        <v>10</v>
      </c>
      <c r="I5" s="231" t="s">
        <v>227</v>
      </c>
      <c r="J5" s="231" t="s">
        <v>13</v>
      </c>
      <c r="K5" s="231" t="s">
        <v>11</v>
      </c>
      <c r="L5" s="231" t="s">
        <v>12</v>
      </c>
      <c r="M5" s="231" t="s">
        <v>228</v>
      </c>
      <c r="N5" s="231" t="s">
        <v>229</v>
      </c>
      <c r="O5" s="231" t="s">
        <v>30</v>
      </c>
    </row>
    <row r="6" spans="1:16">
      <c r="A6" s="335"/>
      <c r="B6" s="145"/>
      <c r="C6" s="145"/>
      <c r="D6" s="145"/>
      <c r="E6" s="253"/>
      <c r="F6" s="231" t="s">
        <v>226</v>
      </c>
      <c r="G6" s="231" t="s">
        <v>226</v>
      </c>
      <c r="H6" s="238">
        <v>6100</v>
      </c>
      <c r="I6" s="238">
        <v>6200</v>
      </c>
      <c r="J6" s="238">
        <v>6500</v>
      </c>
      <c r="K6" s="238">
        <v>6600</v>
      </c>
      <c r="L6" s="238">
        <v>6800</v>
      </c>
      <c r="M6" s="231">
        <v>2023</v>
      </c>
      <c r="N6" s="231">
        <v>2024</v>
      </c>
      <c r="O6" s="231" t="s">
        <v>311</v>
      </c>
    </row>
    <row r="7" spans="1:16">
      <c r="A7" s="336" t="s">
        <v>175</v>
      </c>
      <c r="B7" s="337"/>
      <c r="C7" s="337"/>
      <c r="D7" s="337"/>
      <c r="E7" s="338"/>
      <c r="F7" s="339"/>
      <c r="G7" s="340"/>
      <c r="H7" s="239"/>
      <c r="I7" s="239"/>
      <c r="J7" s="239"/>
      <c r="K7" s="239"/>
      <c r="L7" s="240"/>
      <c r="M7" s="242"/>
      <c r="N7" s="242"/>
      <c r="O7" s="242"/>
    </row>
    <row r="8" spans="1:16">
      <c r="A8" s="56"/>
      <c r="B8" t="s">
        <v>345</v>
      </c>
      <c r="E8" s="102"/>
      <c r="F8" s="341"/>
      <c r="G8" s="342"/>
      <c r="H8" s="254"/>
      <c r="I8" s="254"/>
      <c r="J8" s="254"/>
      <c r="K8" s="254"/>
      <c r="L8" s="245"/>
      <c r="M8" s="254"/>
      <c r="N8" s="254"/>
      <c r="O8" s="246"/>
    </row>
    <row r="9" spans="1:16">
      <c r="A9" s="56"/>
      <c r="C9" t="s">
        <v>14</v>
      </c>
      <c r="E9" s="102">
        <v>1</v>
      </c>
      <c r="F9" s="343" cm="1">
        <f t="array" ref="F9">[1]!SEIP1071P260F1000PPL</f>
        <v>0</v>
      </c>
      <c r="G9" s="18"/>
      <c r="H9" s="2"/>
      <c r="I9" s="2"/>
      <c r="J9" s="2"/>
      <c r="K9" s="2"/>
      <c r="L9" s="17"/>
      <c r="M9" s="243" cm="1">
        <f t="array" ref="M9">[1]!SEIP1071P260F1000</f>
        <v>0</v>
      </c>
      <c r="N9" s="243">
        <f>SUM(H7:L9)</f>
        <v>0</v>
      </c>
      <c r="O9" s="248" t="str">
        <f>IF(M9=0," ",(N9-M9)/M9)</f>
        <v xml:space="preserve"> </v>
      </c>
      <c r="P9" s="247">
        <v>1</v>
      </c>
    </row>
    <row r="10" spans="1:16">
      <c r="A10" s="56"/>
      <c r="C10" t="s">
        <v>295</v>
      </c>
      <c r="E10" s="102"/>
      <c r="F10" s="242"/>
      <c r="G10" s="340"/>
      <c r="H10" s="239"/>
      <c r="I10" s="239"/>
      <c r="J10" s="239"/>
      <c r="K10" s="239"/>
      <c r="L10" s="240"/>
      <c r="M10" s="242"/>
      <c r="N10" s="242"/>
      <c r="O10" s="242"/>
      <c r="P10" s="247"/>
    </row>
    <row r="11" spans="1:16">
      <c r="A11" s="56"/>
      <c r="C11" t="s">
        <v>64</v>
      </c>
      <c r="E11" s="102">
        <v>2</v>
      </c>
      <c r="F11" s="343" cm="1">
        <f t="array" ref="F11">[1]!SEIP1071P260F2100PPL</f>
        <v>0</v>
      </c>
      <c r="G11" s="18"/>
      <c r="H11" s="2"/>
      <c r="I11" s="2"/>
      <c r="J11" s="2"/>
      <c r="K11" s="2"/>
      <c r="L11" s="17"/>
      <c r="M11" s="243" cm="1">
        <f t="array" ref="M11">[1]!SEIP1071P260F2100</f>
        <v>0</v>
      </c>
      <c r="N11" s="243">
        <f>SUM(H10:L11)</f>
        <v>0</v>
      </c>
      <c r="O11" s="248" t="str">
        <f>IF(M11=0," ",(N11-M11)/M11)</f>
        <v xml:space="preserve"> </v>
      </c>
      <c r="P11" s="247">
        <v>2</v>
      </c>
    </row>
    <row r="12" spans="1:16">
      <c r="A12" s="56"/>
      <c r="C12" t="s">
        <v>65</v>
      </c>
      <c r="E12" s="251">
        <v>3</v>
      </c>
      <c r="F12" s="343" cm="1">
        <f t="array" ref="F12">[1]!SEIP1071P260F2200PPL</f>
        <v>0</v>
      </c>
      <c r="G12" s="12"/>
      <c r="H12" s="13"/>
      <c r="I12" s="13"/>
      <c r="J12" s="13"/>
      <c r="K12" s="13"/>
      <c r="L12" s="13"/>
      <c r="M12" s="344" cm="1">
        <f t="array" ref="M12">[1]!SEIP1071P260F2200</f>
        <v>0</v>
      </c>
      <c r="N12" s="243">
        <f t="shared" ref="N12:N17" si="0">SUM(H12:L12)</f>
        <v>0</v>
      </c>
      <c r="O12" s="345" t="str">
        <f t="shared" ref="O12:O18" si="1">IF(M12=0," ",(N12-M12)/M12)</f>
        <v xml:space="preserve"> </v>
      </c>
      <c r="P12" s="249">
        <v>3</v>
      </c>
    </row>
    <row r="13" spans="1:16">
      <c r="A13" s="56"/>
      <c r="C13" t="s">
        <v>325</v>
      </c>
      <c r="E13" s="251">
        <v>4</v>
      </c>
      <c r="F13" s="346" cm="1">
        <f t="array" ref="F13">[1]!SEIP1071P260F2300PPL</f>
        <v>0</v>
      </c>
      <c r="G13" s="12"/>
      <c r="H13" s="13"/>
      <c r="I13" s="13"/>
      <c r="J13" s="13"/>
      <c r="K13" s="13"/>
      <c r="L13" s="13"/>
      <c r="M13" s="326" cm="1">
        <f t="array" ref="M13">[1]!SEIP1071P260F2300</f>
        <v>0</v>
      </c>
      <c r="N13" s="250">
        <f t="shared" si="0"/>
        <v>0</v>
      </c>
      <c r="O13" s="347" t="str">
        <f t="shared" si="1"/>
        <v xml:space="preserve"> </v>
      </c>
      <c r="P13" s="249">
        <v>4</v>
      </c>
    </row>
    <row r="14" spans="1:16">
      <c r="A14" s="56"/>
      <c r="C14" t="s">
        <v>326</v>
      </c>
      <c r="E14" s="251">
        <v>5</v>
      </c>
      <c r="F14" s="346" cm="1">
        <f t="array" ref="F14">[1]!SEIP1071P260F2400PPL</f>
        <v>0</v>
      </c>
      <c r="G14" s="12"/>
      <c r="H14" s="13"/>
      <c r="I14" s="13"/>
      <c r="J14" s="13"/>
      <c r="K14" s="13"/>
      <c r="L14" s="13"/>
      <c r="M14" s="326" cm="1">
        <f t="array" ref="M14">[1]!SEIP1071P260F2400</f>
        <v>0</v>
      </c>
      <c r="N14" s="250">
        <f t="shared" si="0"/>
        <v>0</v>
      </c>
      <c r="O14" s="347" t="str">
        <f t="shared" si="1"/>
        <v xml:space="preserve"> </v>
      </c>
      <c r="P14" s="249">
        <v>5</v>
      </c>
    </row>
    <row r="15" spans="1:16">
      <c r="A15" s="56"/>
      <c r="C15" t="s">
        <v>327</v>
      </c>
      <c r="E15" s="251">
        <v>6</v>
      </c>
      <c r="F15" s="346" cm="1">
        <f t="array" ref="F15">[1]!SEIP1071P260F2500PPL</f>
        <v>0</v>
      </c>
      <c r="G15" s="12"/>
      <c r="H15" s="13"/>
      <c r="I15" s="13"/>
      <c r="J15" s="13"/>
      <c r="K15" s="13"/>
      <c r="L15" s="13"/>
      <c r="M15" s="326" cm="1">
        <f t="array" ref="M15">[1]!SEIP1071P260F2500</f>
        <v>0</v>
      </c>
      <c r="N15" s="250">
        <f t="shared" si="0"/>
        <v>0</v>
      </c>
      <c r="O15" s="347" t="str">
        <f t="shared" si="1"/>
        <v xml:space="preserve"> </v>
      </c>
      <c r="P15" s="249">
        <v>6</v>
      </c>
    </row>
    <row r="16" spans="1:16">
      <c r="A16" s="56"/>
      <c r="C16" t="s">
        <v>328</v>
      </c>
      <c r="E16" s="251">
        <v>7</v>
      </c>
      <c r="F16" s="346" cm="1">
        <f t="array" ref="F16">[1]!SEIP1071P260F2600PPL</f>
        <v>0</v>
      </c>
      <c r="G16" s="7"/>
      <c r="H16" s="3"/>
      <c r="I16" s="3"/>
      <c r="J16" s="3"/>
      <c r="K16" s="3"/>
      <c r="L16" s="3"/>
      <c r="M16" s="326" cm="1">
        <f t="array" ref="M16">[1]!SEIP1071P260F2600</f>
        <v>0</v>
      </c>
      <c r="N16" s="250">
        <f t="shared" si="0"/>
        <v>0</v>
      </c>
      <c r="O16" s="347" t="str">
        <f t="shared" si="1"/>
        <v xml:space="preserve"> </v>
      </c>
      <c r="P16" s="249">
        <v>7</v>
      </c>
    </row>
    <row r="17" spans="1:16">
      <c r="A17" s="56"/>
      <c r="C17" t="s">
        <v>329</v>
      </c>
      <c r="E17" s="251">
        <v>8</v>
      </c>
      <c r="F17" s="346" cm="1">
        <f t="array" ref="F17">[1]!SEIP1071P260F2900PPL</f>
        <v>0</v>
      </c>
      <c r="G17" s="8"/>
      <c r="H17" s="2"/>
      <c r="I17" s="2"/>
      <c r="J17" s="2"/>
      <c r="K17" s="2"/>
      <c r="L17" s="2"/>
      <c r="M17" s="326" cm="1">
        <f t="array" ref="M17">[1]!SEIP1071P260F2900</f>
        <v>0</v>
      </c>
      <c r="N17" s="250">
        <f t="shared" si="0"/>
        <v>0</v>
      </c>
      <c r="O17" s="347" t="str">
        <f t="shared" si="1"/>
        <v xml:space="preserve"> </v>
      </c>
      <c r="P17" s="249">
        <v>8</v>
      </c>
    </row>
    <row r="18" spans="1:16">
      <c r="A18" s="73"/>
      <c r="B18" s="145" t="s">
        <v>330</v>
      </c>
      <c r="C18" s="145"/>
      <c r="D18" s="145"/>
      <c r="E18" s="253">
        <v>9</v>
      </c>
      <c r="F18" s="341">
        <f>SUM(F8:F17)</f>
        <v>0</v>
      </c>
      <c r="G18" s="343">
        <f t="shared" ref="G18:L18" si="2">SUM(G7:G17)</f>
        <v>0</v>
      </c>
      <c r="H18" s="243">
        <f t="shared" si="2"/>
        <v>0</v>
      </c>
      <c r="I18" s="243">
        <f t="shared" si="2"/>
        <v>0</v>
      </c>
      <c r="J18" s="243">
        <f t="shared" si="2"/>
        <v>0</v>
      </c>
      <c r="K18" s="243">
        <f t="shared" si="2"/>
        <v>0</v>
      </c>
      <c r="L18" s="243">
        <f t="shared" si="2"/>
        <v>0</v>
      </c>
      <c r="M18" s="254">
        <f>SUM(M8:M17)</f>
        <v>0</v>
      </c>
      <c r="N18" s="254">
        <f>SUM(N8:N17)</f>
        <v>0</v>
      </c>
      <c r="O18" s="348" t="str">
        <f t="shared" si="1"/>
        <v xml:space="preserve"> </v>
      </c>
      <c r="P18" s="247">
        <v>9</v>
      </c>
    </row>
    <row r="19" spans="1:16">
      <c r="A19" s="56"/>
      <c r="B19" t="s">
        <v>331</v>
      </c>
      <c r="E19" s="102"/>
      <c r="F19" s="242"/>
      <c r="G19" s="340"/>
      <c r="H19" s="239"/>
      <c r="I19" s="239"/>
      <c r="J19" s="239"/>
      <c r="K19" s="239"/>
      <c r="L19" s="240"/>
      <c r="M19" s="242"/>
      <c r="N19" s="241"/>
      <c r="O19" s="242"/>
      <c r="P19" s="247"/>
    </row>
    <row r="20" spans="1:16">
      <c r="A20" s="56"/>
      <c r="C20" t="s">
        <v>295</v>
      </c>
      <c r="E20" s="102"/>
      <c r="F20" s="341"/>
      <c r="G20" s="342"/>
      <c r="H20" s="254"/>
      <c r="I20" s="254"/>
      <c r="J20" s="254"/>
      <c r="K20" s="254"/>
      <c r="L20" s="245"/>
      <c r="M20" s="254"/>
      <c r="N20" s="245"/>
      <c r="O20" s="246"/>
      <c r="P20" s="247"/>
    </row>
    <row r="21" spans="1:16">
      <c r="A21" s="56"/>
      <c r="C21" t="s">
        <v>332</v>
      </c>
      <c r="E21" s="102">
        <v>10</v>
      </c>
      <c r="F21" s="343" cm="1">
        <f t="array" ref="F21">[1]!SEIP1071P430F2700PPL</f>
        <v>0</v>
      </c>
      <c r="G21" s="18"/>
      <c r="H21" s="2"/>
      <c r="I21" s="2"/>
      <c r="J21" s="2"/>
      <c r="K21" s="2"/>
      <c r="L21" s="17"/>
      <c r="M21" s="243" cm="1">
        <f t="array" ref="M21">[1]!SEIP1071P430F2700</f>
        <v>0</v>
      </c>
      <c r="N21" s="244">
        <f>SUM(H19:L21)</f>
        <v>0</v>
      </c>
      <c r="O21" s="248" t="str">
        <f>IF(M21=0," ",(N21-M21)/M21)</f>
        <v xml:space="preserve"> </v>
      </c>
      <c r="P21" s="247">
        <v>10</v>
      </c>
    </row>
    <row r="22" spans="1:16">
      <c r="A22" s="79" t="s">
        <v>291</v>
      </c>
      <c r="B22" s="263"/>
      <c r="C22" s="263"/>
      <c r="D22" s="263"/>
      <c r="E22" s="324">
        <v>11</v>
      </c>
      <c r="F22" s="343">
        <f t="shared" ref="F22:L22" si="3">SUM(F18:F21)</f>
        <v>0</v>
      </c>
      <c r="G22" s="343">
        <f t="shared" si="3"/>
        <v>0</v>
      </c>
      <c r="H22" s="250">
        <f t="shared" si="3"/>
        <v>0</v>
      </c>
      <c r="I22" s="250">
        <f t="shared" si="3"/>
        <v>0</v>
      </c>
      <c r="J22" s="250">
        <f t="shared" si="3"/>
        <v>0</v>
      </c>
      <c r="K22" s="250">
        <f t="shared" si="3"/>
        <v>0</v>
      </c>
      <c r="L22" s="250">
        <f t="shared" si="3"/>
        <v>0</v>
      </c>
      <c r="M22" s="243" cm="1">
        <f t="array" ref="M22">[1]!TotalSEIP</f>
        <v>0</v>
      </c>
      <c r="N22" s="243">
        <f>SUM(N18:N21)</f>
        <v>0</v>
      </c>
      <c r="O22" s="248" t="str">
        <f>IF(M22=0," ",(N22-M22)/M22)</f>
        <v xml:space="preserve"> </v>
      </c>
      <c r="P22" s="249">
        <v>11</v>
      </c>
    </row>
    <row r="24" spans="1:16">
      <c r="A24" s="329"/>
      <c r="B24" s="330"/>
      <c r="C24" s="330"/>
      <c r="D24" s="330"/>
      <c r="E24" s="331"/>
      <c r="F24" s="332" t="s">
        <v>56</v>
      </c>
      <c r="G24" s="311"/>
      <c r="H24" s="242"/>
      <c r="I24" s="242"/>
      <c r="J24" s="314" t="s">
        <v>9</v>
      </c>
      <c r="K24" s="241"/>
      <c r="L24" s="241"/>
      <c r="M24" s="232" t="s">
        <v>27</v>
      </c>
      <c r="N24" s="233"/>
      <c r="O24" s="242"/>
    </row>
    <row r="25" spans="1:16">
      <c r="A25" s="315"/>
      <c r="E25" s="97"/>
      <c r="F25" s="333" t="s">
        <v>240</v>
      </c>
      <c r="G25" s="334"/>
      <c r="H25" s="231"/>
      <c r="I25" s="231" t="s">
        <v>55</v>
      </c>
      <c r="J25" s="231" t="s">
        <v>225</v>
      </c>
      <c r="K25" s="235"/>
      <c r="L25" s="235"/>
      <c r="M25" s="235"/>
      <c r="N25" s="235"/>
      <c r="O25" s="231" t="s">
        <v>29</v>
      </c>
    </row>
    <row r="26" spans="1:16">
      <c r="A26" s="315" t="s">
        <v>45</v>
      </c>
      <c r="E26" s="97"/>
      <c r="F26" s="314" t="s">
        <v>94</v>
      </c>
      <c r="G26" s="314" t="s">
        <v>28</v>
      </c>
      <c r="H26" s="231" t="s">
        <v>10</v>
      </c>
      <c r="I26" s="231" t="s">
        <v>227</v>
      </c>
      <c r="J26" s="231" t="s">
        <v>13</v>
      </c>
      <c r="K26" s="231" t="s">
        <v>11</v>
      </c>
      <c r="L26" s="231" t="s">
        <v>12</v>
      </c>
      <c r="M26" s="231" t="s">
        <v>228</v>
      </c>
      <c r="N26" s="231" t="s">
        <v>229</v>
      </c>
      <c r="O26" s="231" t="s">
        <v>30</v>
      </c>
    </row>
    <row r="27" spans="1:16">
      <c r="A27" s="335"/>
      <c r="B27" s="145"/>
      <c r="C27" s="145"/>
      <c r="D27" s="145"/>
      <c r="E27" s="253"/>
      <c r="F27" s="231" t="s">
        <v>226</v>
      </c>
      <c r="G27" s="231" t="s">
        <v>226</v>
      </c>
      <c r="H27" s="238">
        <v>6100</v>
      </c>
      <c r="I27" s="238">
        <v>6200</v>
      </c>
      <c r="J27" s="238">
        <v>6500</v>
      </c>
      <c r="K27" s="238">
        <v>6600</v>
      </c>
      <c r="L27" s="238">
        <v>6800</v>
      </c>
      <c r="M27" s="231">
        <v>2023</v>
      </c>
      <c r="N27" s="231">
        <v>2024</v>
      </c>
      <c r="O27" s="231" t="s">
        <v>311</v>
      </c>
    </row>
    <row r="28" spans="1:16">
      <c r="A28" s="336" t="s">
        <v>58</v>
      </c>
      <c r="B28" s="349"/>
      <c r="C28" s="349"/>
      <c r="D28" s="349"/>
      <c r="E28" s="350"/>
      <c r="F28" s="242"/>
      <c r="G28" s="340"/>
      <c r="H28" s="239"/>
      <c r="I28" s="239"/>
      <c r="J28" s="239"/>
      <c r="K28" s="239"/>
      <c r="L28" s="240"/>
      <c r="M28" s="242"/>
      <c r="N28" s="242"/>
      <c r="O28" s="242"/>
    </row>
    <row r="29" spans="1:16">
      <c r="A29" s="56"/>
      <c r="B29" t="s">
        <v>346</v>
      </c>
      <c r="E29" s="102"/>
      <c r="F29" s="341"/>
      <c r="G29" s="342"/>
      <c r="H29" s="254"/>
      <c r="I29" s="254"/>
      <c r="J29" s="254"/>
      <c r="K29" s="254"/>
      <c r="L29" s="245"/>
      <c r="M29" s="254"/>
      <c r="N29" s="254"/>
      <c r="O29" s="246"/>
    </row>
    <row r="30" spans="1:16">
      <c r="A30" s="56"/>
      <c r="C30" t="s">
        <v>14</v>
      </c>
      <c r="E30" s="102">
        <v>12</v>
      </c>
      <c r="F30" s="343" cm="1">
        <f t="array" ref="F30">[1]!CIP1072P265F1000PPL</f>
        <v>0</v>
      </c>
      <c r="G30" s="18"/>
      <c r="H30" s="2"/>
      <c r="I30" s="2"/>
      <c r="J30" s="2"/>
      <c r="K30" s="2"/>
      <c r="L30" s="17"/>
      <c r="M30" s="243" cm="1">
        <f t="array" ref="M30">[1]!CIP1072P265F1000</f>
        <v>0</v>
      </c>
      <c r="N30" s="243">
        <f>SUM(H28:L30)</f>
        <v>0</v>
      </c>
      <c r="O30" s="248" t="str">
        <f>IF(M30=0," ",(N30-M30)/M30)</f>
        <v xml:space="preserve"> </v>
      </c>
      <c r="P30" s="247">
        <v>12</v>
      </c>
    </row>
    <row r="31" spans="1:16">
      <c r="A31" s="56"/>
      <c r="C31" t="s">
        <v>295</v>
      </c>
      <c r="E31" s="102"/>
      <c r="F31" s="242"/>
      <c r="G31" s="340"/>
      <c r="H31" s="239"/>
      <c r="I31" s="239"/>
      <c r="J31" s="239"/>
      <c r="K31" s="239"/>
      <c r="L31" s="240"/>
      <c r="M31" s="242"/>
      <c r="N31" s="242"/>
      <c r="O31" s="242"/>
    </row>
    <row r="32" spans="1:16">
      <c r="A32" s="56"/>
      <c r="C32" t="s">
        <v>64</v>
      </c>
      <c r="E32" s="102">
        <v>13</v>
      </c>
      <c r="F32" s="343" cm="1">
        <f t="array" ref="F32">[1]!CIP1072P265F2100PPL</f>
        <v>0</v>
      </c>
      <c r="G32" s="18"/>
      <c r="H32" s="2"/>
      <c r="I32" s="2"/>
      <c r="J32" s="2"/>
      <c r="K32" s="2"/>
      <c r="L32" s="17"/>
      <c r="M32" s="243" cm="1">
        <f t="array" ref="M32">[1]!CIP1072P265F2100</f>
        <v>0</v>
      </c>
      <c r="N32" s="243">
        <f>SUM(H31:L32)</f>
        <v>0</v>
      </c>
      <c r="O32" s="248" t="str">
        <f>IF(M32=0," ",(N32-M32)/M32)</f>
        <v xml:space="preserve"> </v>
      </c>
      <c r="P32" s="247">
        <v>13</v>
      </c>
    </row>
    <row r="33" spans="1:16">
      <c r="A33" s="56"/>
      <c r="C33" t="s">
        <v>65</v>
      </c>
      <c r="E33" s="251">
        <v>14</v>
      </c>
      <c r="F33" s="343" cm="1">
        <f t="array" ref="F33">[1]!CIP1072P265F2200PPL</f>
        <v>0</v>
      </c>
      <c r="G33" s="12"/>
      <c r="H33" s="13"/>
      <c r="I33" s="13"/>
      <c r="J33" s="13"/>
      <c r="K33" s="13"/>
      <c r="L33" s="13"/>
      <c r="M33" s="344" cm="1">
        <f t="array" ref="M33">[1]!CIP1072P265F2200</f>
        <v>0</v>
      </c>
      <c r="N33" s="243">
        <f t="shared" ref="N33:N38" si="4">SUM(H33:L33)</f>
        <v>0</v>
      </c>
      <c r="O33" s="345" t="str">
        <f t="shared" ref="O33:O39" si="5">IF(M33=0," ",(N33-M33)/M33)</f>
        <v xml:space="preserve"> </v>
      </c>
      <c r="P33" s="249">
        <v>14</v>
      </c>
    </row>
    <row r="34" spans="1:16">
      <c r="A34" s="56"/>
      <c r="C34" t="s">
        <v>325</v>
      </c>
      <c r="E34" s="251">
        <v>15</v>
      </c>
      <c r="F34" s="343" cm="1">
        <f t="array" ref="F34">[1]!CIP1072P265F2300PPL</f>
        <v>0</v>
      </c>
      <c r="G34" s="6"/>
      <c r="H34" s="4"/>
      <c r="I34" s="4"/>
      <c r="J34" s="4"/>
      <c r="K34" s="4"/>
      <c r="L34" s="4"/>
      <c r="M34" s="326" cm="1">
        <f t="array" ref="M34">[1]!CIP1072P265F2300</f>
        <v>0</v>
      </c>
      <c r="N34" s="250">
        <f t="shared" si="4"/>
        <v>0</v>
      </c>
      <c r="O34" s="347" t="str">
        <f t="shared" si="5"/>
        <v xml:space="preserve"> </v>
      </c>
      <c r="P34" s="249">
        <v>15</v>
      </c>
    </row>
    <row r="35" spans="1:16">
      <c r="A35" s="56"/>
      <c r="C35" t="s">
        <v>326</v>
      </c>
      <c r="E35" s="251">
        <v>16</v>
      </c>
      <c r="F35" s="343" cm="1">
        <f t="array" ref="F35">[1]!CIP1072P265F2400PPL</f>
        <v>0</v>
      </c>
      <c r="G35" s="6"/>
      <c r="H35" s="4"/>
      <c r="I35" s="4"/>
      <c r="J35" s="4"/>
      <c r="K35" s="4"/>
      <c r="L35" s="4"/>
      <c r="M35" s="326" cm="1">
        <f t="array" ref="M35">[1]!CIP1072P265F2400</f>
        <v>0</v>
      </c>
      <c r="N35" s="250">
        <f t="shared" si="4"/>
        <v>0</v>
      </c>
      <c r="O35" s="347" t="str">
        <f t="shared" si="5"/>
        <v xml:space="preserve"> </v>
      </c>
      <c r="P35" s="249">
        <v>16</v>
      </c>
    </row>
    <row r="36" spans="1:16">
      <c r="A36" s="56"/>
      <c r="C36" t="s">
        <v>327</v>
      </c>
      <c r="E36" s="251">
        <v>17</v>
      </c>
      <c r="F36" s="343" cm="1">
        <f t="array" ref="F36">[1]!CIP1072P265F2500PPL</f>
        <v>0</v>
      </c>
      <c r="G36" s="6"/>
      <c r="H36" s="4"/>
      <c r="I36" s="4"/>
      <c r="J36" s="4"/>
      <c r="K36" s="4"/>
      <c r="L36" s="4"/>
      <c r="M36" s="326" cm="1">
        <f t="array" ref="M36">[1]!CIP1072P265F2500</f>
        <v>0</v>
      </c>
      <c r="N36" s="250">
        <f t="shared" si="4"/>
        <v>0</v>
      </c>
      <c r="O36" s="347" t="str">
        <f t="shared" si="5"/>
        <v xml:space="preserve"> </v>
      </c>
      <c r="P36" s="249">
        <v>17</v>
      </c>
    </row>
    <row r="37" spans="1:16">
      <c r="A37" s="56"/>
      <c r="C37" t="s">
        <v>328</v>
      </c>
      <c r="E37" s="251">
        <v>18</v>
      </c>
      <c r="F37" s="346" cm="1">
        <f t="array" ref="F37">[1]!CIP1072P265F2600PPL</f>
        <v>0</v>
      </c>
      <c r="G37" s="7"/>
      <c r="H37" s="3"/>
      <c r="I37" s="3"/>
      <c r="J37" s="3"/>
      <c r="K37" s="3"/>
      <c r="L37" s="3"/>
      <c r="M37" s="326" cm="1">
        <f t="array" ref="M37">[1]!CIP1072P265F2600</f>
        <v>0</v>
      </c>
      <c r="N37" s="250">
        <f t="shared" si="4"/>
        <v>0</v>
      </c>
      <c r="O37" s="347" t="str">
        <f t="shared" si="5"/>
        <v xml:space="preserve"> </v>
      </c>
      <c r="P37" s="249">
        <v>18</v>
      </c>
    </row>
    <row r="38" spans="1:16">
      <c r="A38" s="56"/>
      <c r="C38" t="s">
        <v>329</v>
      </c>
      <c r="E38" s="251">
        <v>19</v>
      </c>
      <c r="F38" s="343" cm="1">
        <f t="array" ref="F38">[1]!CIP1072P265F2900PPL</f>
        <v>0</v>
      </c>
      <c r="G38" s="8"/>
      <c r="H38" s="2"/>
      <c r="I38" s="2"/>
      <c r="J38" s="2"/>
      <c r="K38" s="2"/>
      <c r="L38" s="2"/>
      <c r="M38" s="326" cm="1">
        <f t="array" ref="M38">[1]!CIP1072P265F2900</f>
        <v>0</v>
      </c>
      <c r="N38" s="250">
        <f t="shared" si="4"/>
        <v>0</v>
      </c>
      <c r="O38" s="347" t="str">
        <f t="shared" si="5"/>
        <v xml:space="preserve"> </v>
      </c>
      <c r="P38" s="249">
        <v>19</v>
      </c>
    </row>
    <row r="39" spans="1:16">
      <c r="A39" s="73"/>
      <c r="B39" s="145" t="s">
        <v>333</v>
      </c>
      <c r="C39" s="145"/>
      <c r="D39" s="145"/>
      <c r="E39" s="253">
        <v>20</v>
      </c>
      <c r="F39" s="341">
        <f>SUM(F29:F38)</f>
        <v>0</v>
      </c>
      <c r="G39" s="343">
        <f t="shared" ref="G39:L39" si="6">SUM(G28:G38)</f>
        <v>0</v>
      </c>
      <c r="H39" s="243">
        <f t="shared" si="6"/>
        <v>0</v>
      </c>
      <c r="I39" s="243">
        <f t="shared" si="6"/>
        <v>0</v>
      </c>
      <c r="J39" s="243">
        <f t="shared" si="6"/>
        <v>0</v>
      </c>
      <c r="K39" s="243">
        <f t="shared" si="6"/>
        <v>0</v>
      </c>
      <c r="L39" s="243">
        <f t="shared" si="6"/>
        <v>0</v>
      </c>
      <c r="M39" s="254">
        <f>SUM(M29:M38)</f>
        <v>0</v>
      </c>
      <c r="N39" s="254">
        <f>SUM(N29:N38)</f>
        <v>0</v>
      </c>
      <c r="O39" s="348" t="str">
        <f t="shared" si="5"/>
        <v xml:space="preserve"> </v>
      </c>
      <c r="P39" s="247">
        <v>20</v>
      </c>
    </row>
    <row r="40" spans="1:16">
      <c r="A40" s="56"/>
      <c r="B40" t="s">
        <v>347</v>
      </c>
      <c r="E40" s="102"/>
      <c r="F40" s="242"/>
      <c r="G40" s="340"/>
      <c r="H40" s="239"/>
      <c r="I40" s="239"/>
      <c r="J40" s="239"/>
      <c r="K40" s="239"/>
      <c r="L40" s="240"/>
      <c r="M40" s="242"/>
      <c r="N40" s="242"/>
      <c r="O40" s="242"/>
      <c r="P40" s="247"/>
    </row>
    <row r="41" spans="1:16">
      <c r="A41" s="56"/>
      <c r="C41" t="s">
        <v>295</v>
      </c>
      <c r="E41" s="102"/>
      <c r="F41" s="341"/>
      <c r="G41" s="342"/>
      <c r="H41" s="254"/>
      <c r="I41" s="254"/>
      <c r="J41" s="254"/>
      <c r="K41" s="254"/>
      <c r="L41" s="245"/>
      <c r="M41" s="254"/>
      <c r="N41" s="254"/>
      <c r="O41" s="246"/>
      <c r="P41" s="247"/>
    </row>
    <row r="42" spans="1:16">
      <c r="A42" s="56"/>
      <c r="C42" t="s">
        <v>332</v>
      </c>
      <c r="E42" s="102">
        <v>21</v>
      </c>
      <c r="F42" s="343" cm="1">
        <f t="array" ref="F42">[1]!CIP1072P435F2700PPL</f>
        <v>0</v>
      </c>
      <c r="G42" s="18"/>
      <c r="H42" s="2"/>
      <c r="I42" s="2"/>
      <c r="J42" s="2"/>
      <c r="K42" s="2"/>
      <c r="L42" s="17"/>
      <c r="M42" s="243" cm="1">
        <f t="array" ref="M42">[1]!CIP1072P435F2700</f>
        <v>0</v>
      </c>
      <c r="N42" s="243">
        <f>SUM(H40:L42)</f>
        <v>0</v>
      </c>
      <c r="O42" s="248" t="str">
        <f>IF(M42=0," ",(N42-M42)/M42)</f>
        <v xml:space="preserve"> </v>
      </c>
      <c r="P42" s="247">
        <v>21</v>
      </c>
    </row>
    <row r="43" spans="1:16">
      <c r="A43" s="79" t="s">
        <v>292</v>
      </c>
      <c r="B43" s="263"/>
      <c r="C43" s="263"/>
      <c r="D43" s="263"/>
      <c r="E43" s="324">
        <v>22</v>
      </c>
      <c r="F43" s="343">
        <f>SUM(F39:F42)</f>
        <v>0</v>
      </c>
      <c r="G43" s="343">
        <f t="shared" ref="G43:L43" si="7">SUM(G39:G42)</f>
        <v>0</v>
      </c>
      <c r="H43" s="250">
        <f t="shared" si="7"/>
        <v>0</v>
      </c>
      <c r="I43" s="250">
        <f t="shared" si="7"/>
        <v>0</v>
      </c>
      <c r="J43" s="250">
        <f t="shared" si="7"/>
        <v>0</v>
      </c>
      <c r="K43" s="250">
        <f t="shared" si="7"/>
        <v>0</v>
      </c>
      <c r="L43" s="250">
        <f t="shared" si="7"/>
        <v>0</v>
      </c>
      <c r="M43" s="243">
        <f>SUM(M39:M42)</f>
        <v>0</v>
      </c>
      <c r="N43" s="243">
        <f>SUM(N39:N42)</f>
        <v>0</v>
      </c>
      <c r="O43" s="248" t="str">
        <f>IF(M43=0," ",(N43-M43)/M43)</f>
        <v xml:space="preserve"> </v>
      </c>
      <c r="P43" s="249">
        <v>22</v>
      </c>
    </row>
  </sheetData>
  <sheetProtection sheet="1" objects="1" scenarios="1"/>
  <mergeCells count="4">
    <mergeCell ref="D1:F1"/>
    <mergeCell ref="J1:K1"/>
    <mergeCell ref="N1:O1"/>
    <mergeCell ref="D3:D4"/>
  </mergeCells>
  <hyperlinks>
    <hyperlink ref="B7:D7" r:id="rId1" display="Structured English Immersion Project - 1071" xr:uid="{00000000-0004-0000-0500-000000000000}"/>
    <hyperlink ref="A7:D7" r:id="rId2" display="Structured English Immersion Project - 1071" xr:uid="{00000000-0004-0000-0500-000001000000}"/>
    <hyperlink ref="A28:D28" location="Pg4CompensatoryInstructionProj" display="Compensatory Instruction Project - 1072" xr:uid="{00000000-0004-0000-0500-000002000000}"/>
    <hyperlink ref="A7:F7" location="Pg4EnglishLanguageLearnerProj" display="Structured English Language Learner Immersion Project - 1071" xr:uid="{00000000-0004-0000-0500-000003000000}"/>
  </hyperlinks>
  <printOptions horizontalCentered="1" verticalCentered="1"/>
  <pageMargins left="0.75" right="0.5" top="0.25" bottom="0.25" header="0" footer="0"/>
  <pageSetup paperSize="5" scale="76" orientation="landscape" r:id="rId3"/>
  <headerFooter>
    <oddFooter>&amp;L&amp;"Arial,Bold"Rev. 5/23 Arizona Department of Education and Auditor General&amp;R&amp;"Arial,Bold"Page 4 of 4</oddFooter>
  </headerFooter>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55"/>
  <sheetViews>
    <sheetView showGridLines="0" workbookViewId="0">
      <selection activeCell="D6" sqref="D6"/>
    </sheetView>
  </sheetViews>
  <sheetFormatPr defaultColWidth="9" defaultRowHeight="12.75"/>
  <cols>
    <col min="1" max="2" width="1.5703125" style="141" customWidth="1"/>
    <col min="3" max="3" width="42" style="141" customWidth="1"/>
    <col min="4" max="5" width="12.5703125" style="141" customWidth="1"/>
    <col min="6" max="6" width="9.5703125" style="141" customWidth="1"/>
    <col min="7" max="7" width="4.5703125" style="141" customWidth="1"/>
    <col min="8" max="8" width="27.140625" style="141" customWidth="1"/>
    <col min="9" max="9" width="5.140625" style="141" customWidth="1"/>
    <col min="10" max="10" width="12.5703125" style="141" customWidth="1"/>
    <col min="11" max="11" width="13.5703125" style="141" customWidth="1"/>
    <col min="12" max="12" width="12.5703125" style="141" customWidth="1"/>
    <col min="13" max="13" width="9.5703125" style="141" customWidth="1"/>
    <col min="14" max="15" width="9" style="141" customWidth="1"/>
    <col min="16" max="16384" width="9" style="141"/>
  </cols>
  <sheetData>
    <row r="1" spans="1:13" ht="23.25" customHeight="1">
      <c r="A1" s="451" t="str">
        <f>IF(OR(BudgetVersion="Proposed",BudgetVersion=""),"FY 2024 Summary of charter school proposed budget",IF(BudgetVersion="Adopted","FY 2023 Summary of charter school adopted budget","FY 2023 Summary of charter school revised budget"))</f>
        <v>FY 2023 Summary of charter school revised budget</v>
      </c>
      <c r="B1" s="451"/>
      <c r="C1" s="451"/>
      <c r="D1" s="451"/>
      <c r="E1" s="451"/>
      <c r="F1" s="451"/>
      <c r="G1" s="451"/>
      <c r="H1" s="451"/>
      <c r="I1" s="451"/>
      <c r="J1" s="451"/>
      <c r="K1" s="42" t="s">
        <v>220</v>
      </c>
      <c r="L1" s="351" t="str">
        <f>CTD</f>
        <v>078507000</v>
      </c>
    </row>
    <row r="2" spans="1:13" ht="3.75" customHeight="1"/>
    <row r="3" spans="1:13" ht="12" customHeight="1">
      <c r="A3" s="329" t="s">
        <v>7</v>
      </c>
      <c r="B3" s="352"/>
      <c r="C3" s="352"/>
      <c r="D3" s="517" t="s">
        <v>27</v>
      </c>
      <c r="E3" s="518"/>
      <c r="F3" s="353" t="s">
        <v>29</v>
      </c>
      <c r="H3" s="508" t="str">
        <f>CONCATENATE("The budget of ",IF(Cover!$D$3=0,Cover!$D$1,(CONCATENATE(Cover!$D$1," (d.b.a. ",Cover!$D$3,")")))," for fiscal year 2024 was officially proposed by the Governing Board on ",TEXT(Cover!$F$20,"mmmm dd, yyyy"),". The complete budget may be reviewed by contacting ",Cover!$O$15," at ",Cover!$M$16," or ",Cover!$P$16,".")</f>
        <v>The budget of Legacy Education Group, Inc. for fiscal year 2024 was officially proposed by the Governing Board on June 05, 2023. The complete budget may be reviewed by contacting Kathy Tolman  at 4809812008 or ktolman@evhigh.com.</v>
      </c>
      <c r="I3" s="509"/>
      <c r="J3" s="509"/>
      <c r="K3" s="509"/>
      <c r="L3" s="509"/>
      <c r="M3" s="510"/>
    </row>
    <row r="4" spans="1:13" ht="12" customHeight="1">
      <c r="A4" s="354"/>
      <c r="D4" s="314" t="s">
        <v>228</v>
      </c>
      <c r="E4" s="314" t="s">
        <v>229</v>
      </c>
      <c r="F4" s="355" t="s">
        <v>30</v>
      </c>
      <c r="H4" s="511"/>
      <c r="I4" s="512"/>
      <c r="J4" s="512"/>
      <c r="K4" s="512"/>
      <c r="L4" s="512"/>
      <c r="M4" s="513"/>
    </row>
    <row r="5" spans="1:13" ht="12" customHeight="1">
      <c r="A5" s="354" t="s">
        <v>294</v>
      </c>
      <c r="D5" s="238">
        <v>2023</v>
      </c>
      <c r="E5" s="238">
        <v>2024</v>
      </c>
      <c r="F5" s="356" t="s">
        <v>311</v>
      </c>
      <c r="H5" s="511"/>
      <c r="I5" s="512"/>
      <c r="J5" s="512"/>
      <c r="K5" s="512"/>
      <c r="L5" s="512"/>
      <c r="M5" s="513"/>
    </row>
    <row r="6" spans="1:13" ht="12" customHeight="1">
      <c r="A6" s="354"/>
      <c r="B6" s="141" t="s">
        <v>14</v>
      </c>
      <c r="D6" s="357">
        <f>SP1000P100F1000CY</f>
        <v>656056</v>
      </c>
      <c r="E6" s="357">
        <f>SP1000P100F1000</f>
        <v>527657</v>
      </c>
      <c r="F6" s="358">
        <f>IF(D6=0," ",(E6-D6)/D6)</f>
        <v>-0.19600000000000001</v>
      </c>
      <c r="H6" s="511"/>
      <c r="I6" s="512"/>
      <c r="J6" s="512"/>
      <c r="K6" s="512"/>
      <c r="L6" s="512"/>
      <c r="M6" s="513"/>
    </row>
    <row r="7" spans="1:13" ht="12" customHeight="1">
      <c r="A7" s="354"/>
      <c r="B7" s="141" t="s">
        <v>295</v>
      </c>
      <c r="D7" s="359"/>
      <c r="E7" s="360"/>
      <c r="F7" s="359"/>
      <c r="H7" s="514"/>
      <c r="I7" s="515"/>
      <c r="J7" s="515"/>
      <c r="K7" s="515"/>
      <c r="L7" s="515"/>
      <c r="M7" s="516"/>
    </row>
    <row r="8" spans="1:13" ht="12" customHeight="1">
      <c r="A8" s="354"/>
      <c r="C8" s="141" t="s">
        <v>77</v>
      </c>
      <c r="D8" s="357">
        <f>SP1000P100F2100CY</f>
        <v>111517</v>
      </c>
      <c r="E8" s="361">
        <f>SP1000P100F2100</f>
        <v>133948</v>
      </c>
      <c r="F8" s="248">
        <f>IF(D8=0," ",(E8-D8)/D8)</f>
        <v>0.20100000000000001</v>
      </c>
      <c r="H8" s="362"/>
      <c r="I8" s="362"/>
      <c r="J8" s="362"/>
      <c r="K8" s="362"/>
    </row>
    <row r="9" spans="1:13" ht="12" customHeight="1">
      <c r="A9" s="354"/>
      <c r="C9" s="141" t="s">
        <v>78</v>
      </c>
      <c r="D9" s="363">
        <f>SP1000P100F2200CY</f>
        <v>56722</v>
      </c>
      <c r="E9" s="363">
        <f>SP1000P100F2200</f>
        <v>54701</v>
      </c>
      <c r="F9" s="246">
        <f>IF(D9=0," ",(E9-D9)/D9)</f>
        <v>-3.5999999999999997E-2</v>
      </c>
      <c r="H9" s="360"/>
      <c r="I9" s="352"/>
      <c r="J9" s="364"/>
      <c r="K9" s="519" t="s">
        <v>27</v>
      </c>
      <c r="L9" s="520"/>
      <c r="M9" s="353" t="s">
        <v>29</v>
      </c>
    </row>
    <row r="10" spans="1:13" ht="12" customHeight="1">
      <c r="A10" s="354"/>
      <c r="C10" s="141" t="s">
        <v>334</v>
      </c>
      <c r="D10" s="363">
        <f>SP1000P100F2300CY</f>
        <v>550</v>
      </c>
      <c r="E10" s="363">
        <f>SP1000P100F2300</f>
        <v>7500</v>
      </c>
      <c r="F10" s="358">
        <f t="shared" ref="F10:F21" si="0">IF(D10=0," ",(E10-D10)/D10)</f>
        <v>12.635999999999999</v>
      </c>
      <c r="H10" s="365" t="s">
        <v>192</v>
      </c>
      <c r="I10" s="366"/>
      <c r="J10" s="367"/>
      <c r="K10" s="314" t="s">
        <v>228</v>
      </c>
      <c r="L10" s="314" t="s">
        <v>229</v>
      </c>
      <c r="M10" s="355" t="s">
        <v>30</v>
      </c>
    </row>
    <row r="11" spans="1:13" ht="12" customHeight="1">
      <c r="A11" s="354"/>
      <c r="C11" s="141" t="s">
        <v>335</v>
      </c>
      <c r="D11" s="363">
        <f>SP1000P100F2400CY</f>
        <v>147616</v>
      </c>
      <c r="E11" s="363">
        <f>SP1000P100F2400</f>
        <v>181223</v>
      </c>
      <c r="F11" s="358">
        <f t="shared" si="0"/>
        <v>0.22800000000000001</v>
      </c>
      <c r="H11" s="368"/>
      <c r="I11" s="369"/>
      <c r="J11" s="370"/>
      <c r="K11" s="238">
        <v>2023</v>
      </c>
      <c r="L11" s="238">
        <v>2024</v>
      </c>
      <c r="M11" s="356" t="s">
        <v>311</v>
      </c>
    </row>
    <row r="12" spans="1:13" ht="12" customHeight="1">
      <c r="A12" s="354"/>
      <c r="C12" s="141" t="s">
        <v>336</v>
      </c>
      <c r="D12" s="363">
        <f>SP1000P100F2500CY</f>
        <v>130563</v>
      </c>
      <c r="E12" s="363">
        <f>SP1000P100F2500</f>
        <v>143233</v>
      </c>
      <c r="F12" s="358">
        <f t="shared" si="0"/>
        <v>9.7000000000000003E-2</v>
      </c>
      <c r="H12" s="87" t="s">
        <v>233</v>
      </c>
      <c r="I12" s="42"/>
      <c r="J12" s="97"/>
      <c r="K12" s="357">
        <f>'Page 2'!M5</f>
        <v>80777</v>
      </c>
      <c r="L12" s="357">
        <f>'Page 2'!N5</f>
        <v>81607</v>
      </c>
      <c r="M12" s="358">
        <f t="shared" ref="M12:M19" si="1">IF(K12=0," ",(L12-K12)/K12)</f>
        <v>0.01</v>
      </c>
    </row>
    <row r="13" spans="1:13" ht="12" customHeight="1">
      <c r="A13" s="354"/>
      <c r="C13" s="141" t="s">
        <v>337</v>
      </c>
      <c r="D13" s="363">
        <f>SP1000P100F2600CY</f>
        <v>523266</v>
      </c>
      <c r="E13" s="363">
        <f>SP1000P100F2600</f>
        <v>654903</v>
      </c>
      <c r="F13" s="358">
        <f t="shared" si="0"/>
        <v>0.252</v>
      </c>
      <c r="H13" s="87" t="s">
        <v>230</v>
      </c>
      <c r="I13" s="42"/>
      <c r="J13" s="97"/>
      <c r="K13" s="357">
        <f>P200GiftedEducationCY</f>
        <v>0</v>
      </c>
      <c r="L13" s="363">
        <f>P200GiftedEducation</f>
        <v>0</v>
      </c>
      <c r="M13" s="358" t="str">
        <f t="shared" si="1"/>
        <v xml:space="preserve"> </v>
      </c>
    </row>
    <row r="14" spans="1:13" ht="12" customHeight="1">
      <c r="A14" s="354"/>
      <c r="C14" s="141" t="s">
        <v>338</v>
      </c>
      <c r="D14" s="363">
        <f>SP1000P100F2900CY</f>
        <v>0</v>
      </c>
      <c r="E14" s="363">
        <f>SP1000P100F2900</f>
        <v>0</v>
      </c>
      <c r="F14" s="358" t="str">
        <f t="shared" si="0"/>
        <v xml:space="preserve"> </v>
      </c>
      <c r="H14" s="87" t="s">
        <v>312</v>
      </c>
      <c r="I14" s="42"/>
      <c r="J14" s="97"/>
      <c r="K14" s="357">
        <f>P200ELLIncrementalCostsCY</f>
        <v>0</v>
      </c>
      <c r="L14" s="363">
        <f>P200ELLIncrementalCosts</f>
        <v>0</v>
      </c>
      <c r="M14" s="358" t="str">
        <f t="shared" si="1"/>
        <v xml:space="preserve"> </v>
      </c>
    </row>
    <row r="15" spans="1:13" ht="12" customHeight="1">
      <c r="A15" s="354"/>
      <c r="B15" s="141" t="s">
        <v>301</v>
      </c>
      <c r="D15" s="363">
        <f>SP1000P100F3000CY</f>
        <v>34076</v>
      </c>
      <c r="E15" s="363">
        <f>SP1000P100F3000</f>
        <v>43800</v>
      </c>
      <c r="F15" s="358">
        <f t="shared" si="0"/>
        <v>0.28499999999999998</v>
      </c>
      <c r="H15" s="87" t="s">
        <v>313</v>
      </c>
      <c r="I15" s="42"/>
      <c r="J15" s="97"/>
      <c r="K15" s="363">
        <f>P200ELLCompensatoryInstructionCY</f>
        <v>0</v>
      </c>
      <c r="L15" s="363">
        <f>P200ELLCompensatoryInstruction</f>
        <v>0</v>
      </c>
      <c r="M15" s="358" t="str">
        <f t="shared" si="1"/>
        <v xml:space="preserve"> </v>
      </c>
    </row>
    <row r="16" spans="1:13" ht="12" customHeight="1">
      <c r="A16" s="354"/>
      <c r="B16" s="141" t="s">
        <v>302</v>
      </c>
      <c r="D16" s="363">
        <f>SP1000P100F4000CY</f>
        <v>0</v>
      </c>
      <c r="E16" s="363">
        <f>SP1000P100F4000</f>
        <v>0</v>
      </c>
      <c r="F16" s="358" t="str">
        <f t="shared" si="0"/>
        <v xml:space="preserve"> </v>
      </c>
      <c r="H16" s="87" t="s">
        <v>231</v>
      </c>
      <c r="I16" s="42"/>
      <c r="J16" s="97"/>
      <c r="K16" s="363">
        <f>P200RemedialEducationCY</f>
        <v>0</v>
      </c>
      <c r="L16" s="363">
        <f>P200RemedialEducation</f>
        <v>0</v>
      </c>
      <c r="M16" s="358" t="str">
        <f t="shared" si="1"/>
        <v xml:space="preserve"> </v>
      </c>
    </row>
    <row r="17" spans="1:13" ht="12" customHeight="1">
      <c r="A17" s="354"/>
      <c r="B17" s="141" t="s">
        <v>303</v>
      </c>
      <c r="D17" s="363">
        <f>SP1000P100F5000CY</f>
        <v>3200</v>
      </c>
      <c r="E17" s="363">
        <f>SP1000P100F5000</f>
        <v>21631</v>
      </c>
      <c r="F17" s="358">
        <f t="shared" si="0"/>
        <v>5.76</v>
      </c>
      <c r="H17" s="87" t="s">
        <v>314</v>
      </c>
      <c r="I17" s="42"/>
      <c r="J17" s="97"/>
      <c r="K17" s="363">
        <f>P200VocationalandTechnologicalEdCY</f>
        <v>0</v>
      </c>
      <c r="L17" s="363">
        <f>P200VocationalandTechnologicalEd</f>
        <v>0</v>
      </c>
      <c r="M17" s="358" t="str">
        <f t="shared" si="1"/>
        <v xml:space="preserve"> </v>
      </c>
    </row>
    <row r="18" spans="1:13" ht="12" customHeight="1">
      <c r="A18" s="354" t="s">
        <v>304</v>
      </c>
      <c r="D18" s="363">
        <f>SP1000P610CY</f>
        <v>0</v>
      </c>
      <c r="E18" s="363">
        <f>SP1000P610</f>
        <v>0</v>
      </c>
      <c r="F18" s="358" t="str">
        <f t="shared" si="0"/>
        <v xml:space="preserve"> </v>
      </c>
      <c r="H18" s="87" t="s">
        <v>232</v>
      </c>
      <c r="I18" s="42"/>
      <c r="J18" s="97"/>
      <c r="K18" s="371">
        <f>P200CareerEducationCY</f>
        <v>0</v>
      </c>
      <c r="L18" s="371">
        <f>P200CareerEducation</f>
        <v>0</v>
      </c>
      <c r="M18" s="358" t="str">
        <f t="shared" si="1"/>
        <v xml:space="preserve"> </v>
      </c>
    </row>
    <row r="19" spans="1:13" ht="12" customHeight="1">
      <c r="A19" s="354" t="s">
        <v>305</v>
      </c>
      <c r="D19" s="363">
        <f>SP1000P620CY</f>
        <v>0</v>
      </c>
      <c r="E19" s="363">
        <f>SP1000P620</f>
        <v>0</v>
      </c>
      <c r="F19" s="358" t="str">
        <f t="shared" si="0"/>
        <v xml:space="preserve"> </v>
      </c>
      <c r="H19" s="521" t="s">
        <v>80</v>
      </c>
      <c r="I19" s="493"/>
      <c r="J19" s="493"/>
      <c r="K19" s="363">
        <f>SUM(K12:K18)</f>
        <v>80777</v>
      </c>
      <c r="L19" s="363">
        <f>SUM(L12:L18)</f>
        <v>81607</v>
      </c>
      <c r="M19" s="256">
        <f t="shared" si="1"/>
        <v>0.01</v>
      </c>
    </row>
    <row r="20" spans="1:13" ht="12" customHeight="1">
      <c r="A20" s="354" t="s">
        <v>306</v>
      </c>
      <c r="D20" s="363">
        <f>SP1000P630700800900CY</f>
        <v>8000</v>
      </c>
      <c r="E20" s="363">
        <f>SP1000P630700800900</f>
        <v>11000</v>
      </c>
      <c r="F20" s="358">
        <f t="shared" si="0"/>
        <v>0.375</v>
      </c>
      <c r="H20" s="372"/>
      <c r="I20" s="372"/>
      <c r="K20" s="373"/>
      <c r="L20" s="373"/>
      <c r="M20" s="258"/>
    </row>
    <row r="21" spans="1:13" ht="12" customHeight="1">
      <c r="A21" s="374"/>
      <c r="B21" s="375" t="s">
        <v>339</v>
      </c>
      <c r="C21" s="370"/>
      <c r="D21" s="363">
        <f>SUM(D6:D20)</f>
        <v>1671566</v>
      </c>
      <c r="E21" s="363">
        <f>SUM(E6:E20)</f>
        <v>1779596</v>
      </c>
      <c r="F21" s="358">
        <f t="shared" si="0"/>
        <v>6.5000000000000002E-2</v>
      </c>
      <c r="H21" s="504" t="s">
        <v>193</v>
      </c>
      <c r="I21" s="505"/>
      <c r="J21" s="505"/>
      <c r="K21" s="505"/>
      <c r="L21" s="506"/>
      <c r="M21" s="258"/>
    </row>
    <row r="22" spans="1:13" ht="12" customHeight="1">
      <c r="A22" s="354" t="s">
        <v>307</v>
      </c>
      <c r="D22" s="359"/>
      <c r="E22" s="360"/>
      <c r="F22" s="359"/>
      <c r="H22" s="354"/>
      <c r="J22" s="523" t="s">
        <v>27</v>
      </c>
      <c r="K22" s="524"/>
      <c r="L22" s="355" t="s">
        <v>29</v>
      </c>
      <c r="M22" s="258"/>
    </row>
    <row r="23" spans="1:13" ht="12" customHeight="1">
      <c r="A23" s="354"/>
      <c r="B23" s="141" t="s">
        <v>14</v>
      </c>
      <c r="D23" s="376">
        <f>SP1000P200F1000CY</f>
        <v>69306</v>
      </c>
      <c r="E23" s="377">
        <f>SP1000P200F1000</f>
        <v>11804</v>
      </c>
      <c r="F23" s="248">
        <f>IF(D23=0," ",(E23-D23)/D23)</f>
        <v>-0.83</v>
      </c>
      <c r="H23" s="354"/>
      <c r="J23" s="314" t="s">
        <v>228</v>
      </c>
      <c r="K23" s="314" t="s">
        <v>229</v>
      </c>
      <c r="L23" s="355" t="s">
        <v>30</v>
      </c>
      <c r="M23" s="258"/>
    </row>
    <row r="24" spans="1:13" ht="12" customHeight="1">
      <c r="A24" s="354"/>
      <c r="B24" s="141" t="s">
        <v>295</v>
      </c>
      <c r="D24" s="359"/>
      <c r="E24" s="359"/>
      <c r="F24" s="246"/>
      <c r="H24" s="378"/>
      <c r="J24" s="238">
        <v>2023</v>
      </c>
      <c r="K24" s="238">
        <v>2024</v>
      </c>
      <c r="L24" s="356" t="s">
        <v>311</v>
      </c>
      <c r="M24" s="258"/>
    </row>
    <row r="25" spans="1:13" ht="12" customHeight="1">
      <c r="A25" s="354"/>
      <c r="C25" s="141" t="s">
        <v>77</v>
      </c>
      <c r="D25" s="357">
        <f>SP1000P200F2100CY</f>
        <v>0</v>
      </c>
      <c r="E25" s="357">
        <f>SP1000P200F2100</f>
        <v>7653</v>
      </c>
      <c r="F25" s="248" t="str">
        <f t="shared" ref="F25:F41" si="2">IF(D25=0," ",(E25-D25)/D25)</f>
        <v xml:space="preserve"> </v>
      </c>
      <c r="H25" s="379" t="s">
        <v>81</v>
      </c>
      <c r="I25" s="380"/>
      <c r="J25" s="357">
        <f>SP1000TotalCY</f>
        <v>1752693</v>
      </c>
      <c r="K25" s="357">
        <f>SP1000Total</f>
        <v>1862703</v>
      </c>
      <c r="L25" s="256">
        <f>IF(J25=0," ",(K25-J25)/J25)</f>
        <v>6.3E-2</v>
      </c>
      <c r="M25" s="258"/>
    </row>
    <row r="26" spans="1:13" ht="12" customHeight="1">
      <c r="A26" s="354"/>
      <c r="C26" s="141" t="s">
        <v>78</v>
      </c>
      <c r="D26" s="357">
        <f>SP1000P200F2200CY</f>
        <v>11471</v>
      </c>
      <c r="E26" s="357">
        <f>SP1000P200F2200</f>
        <v>51212</v>
      </c>
      <c r="F26" s="246">
        <f t="shared" si="2"/>
        <v>3.464</v>
      </c>
      <c r="H26" s="79" t="s">
        <v>90</v>
      </c>
      <c r="I26" s="380"/>
      <c r="J26" s="363">
        <f>SP1000ClassSiteProjCY</f>
        <v>131014</v>
      </c>
      <c r="K26" s="363">
        <f>SP1000ClassSiteProj</f>
        <v>173747</v>
      </c>
      <c r="L26" s="256">
        <f t="shared" ref="L26:L33" si="3">IF(J26=0," ",(K26-J26)/J26)</f>
        <v>0.32600000000000001</v>
      </c>
      <c r="M26" s="258"/>
    </row>
    <row r="27" spans="1:13" ht="12" customHeight="1">
      <c r="A27" s="354"/>
      <c r="C27" s="141" t="s">
        <v>334</v>
      </c>
      <c r="D27" s="357">
        <f>SP1000P200F2300CY</f>
        <v>0</v>
      </c>
      <c r="E27" s="357">
        <f>SP1000P200F2300</f>
        <v>0</v>
      </c>
      <c r="F27" s="358" t="str">
        <f t="shared" si="2"/>
        <v xml:space="preserve"> </v>
      </c>
      <c r="H27" s="79" t="s">
        <v>82</v>
      </c>
      <c r="I27" s="380"/>
      <c r="J27" s="363">
        <f>SP1000InstrImpProjCY</f>
        <v>10434</v>
      </c>
      <c r="K27" s="363">
        <f>SP1000InstrImpProj</f>
        <v>7851</v>
      </c>
      <c r="L27" s="256">
        <f t="shared" si="3"/>
        <v>-0.248</v>
      </c>
      <c r="M27" s="258"/>
    </row>
    <row r="28" spans="1:13" ht="12" customHeight="1">
      <c r="A28" s="354"/>
      <c r="C28" s="141" t="s">
        <v>335</v>
      </c>
      <c r="D28" s="357">
        <f>SP1000P200F2400CY</f>
        <v>0</v>
      </c>
      <c r="E28" s="357">
        <f>SP1000P200F2400</f>
        <v>10938</v>
      </c>
      <c r="F28" s="358" t="str">
        <f t="shared" si="2"/>
        <v xml:space="preserve"> </v>
      </c>
      <c r="H28" s="79" t="s">
        <v>176</v>
      </c>
      <c r="I28" s="380"/>
      <c r="J28" s="363">
        <f>SP1000StruEngImmProjCY</f>
        <v>0</v>
      </c>
      <c r="K28" s="363">
        <f>SP1000StruEngImmProj</f>
        <v>0</v>
      </c>
      <c r="L28" s="256" t="str">
        <f t="shared" si="3"/>
        <v xml:space="preserve"> </v>
      </c>
      <c r="M28" s="258"/>
    </row>
    <row r="29" spans="1:13" ht="12" customHeight="1">
      <c r="A29" s="354"/>
      <c r="C29" s="141" t="s">
        <v>336</v>
      </c>
      <c r="D29" s="357">
        <f>SP1000P200F2500CY</f>
        <v>0</v>
      </c>
      <c r="E29" s="357">
        <f>SP1000P200F2500</f>
        <v>0</v>
      </c>
      <c r="F29" s="358" t="str">
        <f t="shared" si="2"/>
        <v xml:space="preserve"> </v>
      </c>
      <c r="H29" s="79" t="s">
        <v>59</v>
      </c>
      <c r="I29" s="380"/>
      <c r="J29" s="363">
        <f>SP1000CompInstrProjCY</f>
        <v>0</v>
      </c>
      <c r="K29" s="363">
        <f>SP1000CompInstrProj</f>
        <v>0</v>
      </c>
      <c r="L29" s="256" t="str">
        <f t="shared" si="3"/>
        <v xml:space="preserve"> </v>
      </c>
      <c r="M29" s="258"/>
    </row>
    <row r="30" spans="1:13" ht="12" customHeight="1">
      <c r="A30" s="354"/>
      <c r="C30" s="141" t="s">
        <v>337</v>
      </c>
      <c r="D30" s="357">
        <f>SP1000P200F2600CY</f>
        <v>0</v>
      </c>
      <c r="E30" s="357">
        <f>SP1000P200F2600</f>
        <v>0</v>
      </c>
      <c r="F30" s="358" t="str">
        <f t="shared" si="2"/>
        <v xml:space="preserve"> </v>
      </c>
      <c r="H30" s="79" t="s">
        <v>342</v>
      </c>
      <c r="I30" s="380"/>
      <c r="J30" s="363">
        <f>TotalFederalProjectsCY</f>
        <v>349956</v>
      </c>
      <c r="K30" s="363">
        <f>TotalFederalProjects</f>
        <v>190371</v>
      </c>
      <c r="L30" s="256">
        <f t="shared" si="3"/>
        <v>-0.45600000000000002</v>
      </c>
      <c r="M30" s="258"/>
    </row>
    <row r="31" spans="1:13" ht="12" customHeight="1">
      <c r="A31" s="354"/>
      <c r="C31" s="141" t="s">
        <v>338</v>
      </c>
      <c r="D31" s="357">
        <f>SP1000P200F2900CY</f>
        <v>0</v>
      </c>
      <c r="E31" s="357">
        <f>SP1000P200F2900</f>
        <v>0</v>
      </c>
      <c r="F31" s="358" t="str">
        <f t="shared" si="2"/>
        <v xml:space="preserve"> </v>
      </c>
      <c r="H31" s="79" t="s">
        <v>343</v>
      </c>
      <c r="I31" s="380"/>
      <c r="J31" s="363">
        <f>TotalStateProjectsCY</f>
        <v>0</v>
      </c>
      <c r="K31" s="363">
        <f>TotalStateProjects</f>
        <v>0</v>
      </c>
      <c r="L31" s="256" t="str">
        <f t="shared" si="3"/>
        <v xml:space="preserve"> </v>
      </c>
      <c r="M31" s="258"/>
    </row>
    <row r="32" spans="1:13" ht="12" customHeight="1">
      <c r="A32" s="354"/>
      <c r="B32" s="141" t="s">
        <v>301</v>
      </c>
      <c r="D32" s="357">
        <f>SP1000P200F3000CY</f>
        <v>0</v>
      </c>
      <c r="E32" s="357">
        <f>SP1000P200F3000</f>
        <v>0</v>
      </c>
      <c r="F32" s="358" t="str">
        <f t="shared" si="2"/>
        <v xml:space="preserve"> </v>
      </c>
      <c r="H32" s="79" t="s">
        <v>209</v>
      </c>
      <c r="I32" s="380"/>
      <c r="J32" s="363">
        <f>TotalCapitalAcquisitionsCY</f>
        <v>30891</v>
      </c>
      <c r="K32" s="363">
        <f>TotalCapitalAcquisitions</f>
        <v>51297</v>
      </c>
      <c r="L32" s="256">
        <f t="shared" si="3"/>
        <v>0.66100000000000003</v>
      </c>
      <c r="M32" s="258"/>
    </row>
    <row r="33" spans="1:14" ht="12" customHeight="1">
      <c r="A33" s="354"/>
      <c r="B33" s="141" t="s">
        <v>302</v>
      </c>
      <c r="D33" s="357">
        <f>SP1000P200F4000CY</f>
        <v>0</v>
      </c>
      <c r="E33" s="357">
        <f>SP1000P200F4000</f>
        <v>0</v>
      </c>
      <c r="F33" s="358" t="str">
        <f t="shared" si="2"/>
        <v xml:space="preserve"> </v>
      </c>
      <c r="H33" s="79" t="s">
        <v>241</v>
      </c>
      <c r="I33" s="380"/>
      <c r="J33" s="363">
        <f>SUM(J25:J32)</f>
        <v>2274988</v>
      </c>
      <c r="K33" s="363">
        <f>SUM(K25:K32)</f>
        <v>2285969</v>
      </c>
      <c r="L33" s="256">
        <f t="shared" si="3"/>
        <v>5.0000000000000001E-3</v>
      </c>
    </row>
    <row r="34" spans="1:14" ht="12" customHeight="1">
      <c r="A34" s="354"/>
      <c r="B34" s="141" t="s">
        <v>303</v>
      </c>
      <c r="D34" s="357">
        <f>SP1000P200F5000CY</f>
        <v>0</v>
      </c>
      <c r="E34" s="357">
        <f>SP1000P200F5000</f>
        <v>0</v>
      </c>
      <c r="F34" s="358" t="str">
        <f t="shared" si="2"/>
        <v xml:space="preserve"> </v>
      </c>
    </row>
    <row r="35" spans="1:14" ht="12" customHeight="1">
      <c r="A35" s="354"/>
      <c r="B35" s="141" t="s">
        <v>340</v>
      </c>
      <c r="C35" s="367"/>
      <c r="D35" s="371">
        <f>SUM(D23:D34)</f>
        <v>80777</v>
      </c>
      <c r="E35" s="371">
        <f>SUM(E23:E34)</f>
        <v>81607</v>
      </c>
      <c r="F35" s="358">
        <f t="shared" si="2"/>
        <v>0.01</v>
      </c>
      <c r="H35" s="507" t="s">
        <v>195</v>
      </c>
      <c r="I35" s="507"/>
      <c r="J35" s="507"/>
      <c r="K35" s="507"/>
      <c r="L35" s="507"/>
      <c r="M35" s="525" t="str">
        <f>IF(L37&lt;1,"Enter average salary on the budget Cover","")</f>
        <v/>
      </c>
      <c r="N35" s="381"/>
    </row>
    <row r="36" spans="1:14" ht="0.75" customHeight="1">
      <c r="A36" s="374" t="s">
        <v>79</v>
      </c>
      <c r="B36" s="375"/>
      <c r="C36" s="370"/>
      <c r="D36" s="357"/>
      <c r="E36" s="357"/>
      <c r="F36" s="248"/>
      <c r="J36" s="382"/>
      <c r="K36" s="382"/>
      <c r="L36" s="382"/>
      <c r="M36" s="525"/>
      <c r="N36" s="381"/>
    </row>
    <row r="37" spans="1:14" ht="12" customHeight="1">
      <c r="A37" s="379" t="s">
        <v>308</v>
      </c>
      <c r="B37" s="380"/>
      <c r="C37" s="383"/>
      <c r="D37" s="363">
        <f>SP1000P400CY</f>
        <v>350</v>
      </c>
      <c r="E37" s="363">
        <f>SP1000P400</f>
        <v>1500</v>
      </c>
      <c r="F37" s="256">
        <f t="shared" si="2"/>
        <v>3.286</v>
      </c>
      <c r="H37" s="522" t="s">
        <v>492</v>
      </c>
      <c r="I37" s="522"/>
      <c r="J37" s="522"/>
      <c r="K37" s="522"/>
      <c r="L37" s="250">
        <f>BudgetYearSalary</f>
        <v>51448</v>
      </c>
      <c r="M37" s="525"/>
      <c r="N37" s="381"/>
    </row>
    <row r="38" spans="1:14" ht="12" customHeight="1">
      <c r="A38" s="379" t="s">
        <v>309</v>
      </c>
      <c r="B38" s="380"/>
      <c r="C38" s="383"/>
      <c r="D38" s="363">
        <f>SP1000P530CY</f>
        <v>0</v>
      </c>
      <c r="E38" s="363">
        <f>SP1000P530</f>
        <v>0</v>
      </c>
      <c r="F38" s="256" t="str">
        <f t="shared" si="2"/>
        <v xml:space="preserve"> </v>
      </c>
      <c r="H38" s="522" t="s">
        <v>493</v>
      </c>
      <c r="I38" s="522"/>
      <c r="J38" s="522"/>
      <c r="K38" s="522"/>
      <c r="L38" s="250">
        <f>PriorYearSalary</f>
        <v>49999</v>
      </c>
      <c r="M38" s="525"/>
      <c r="N38" s="381"/>
    </row>
    <row r="39" spans="1:14" ht="12" customHeight="1">
      <c r="A39" s="379" t="s">
        <v>341</v>
      </c>
      <c r="B39" s="380"/>
      <c r="C39" s="383"/>
      <c r="D39" s="363">
        <f>SP1000P540CY</f>
        <v>0</v>
      </c>
      <c r="E39" s="363">
        <f>SP1000P540</f>
        <v>0</v>
      </c>
      <c r="F39" s="256" t="str">
        <f t="shared" si="2"/>
        <v xml:space="preserve"> </v>
      </c>
      <c r="H39" s="522" t="s">
        <v>494</v>
      </c>
      <c r="I39" s="522"/>
      <c r="J39" s="522"/>
      <c r="K39" s="522"/>
      <c r="L39" s="250">
        <f>SalaryIncreaseFromPriorYear</f>
        <v>1449</v>
      </c>
      <c r="M39" s="525"/>
      <c r="N39" s="381"/>
    </row>
    <row r="40" spans="1:14" ht="12" customHeight="1">
      <c r="A40" s="374" t="s">
        <v>83</v>
      </c>
      <c r="B40" s="375"/>
      <c r="C40" s="370"/>
      <c r="D40" s="363">
        <f>SP1000P550CY</f>
        <v>0</v>
      </c>
      <c r="E40" s="363">
        <f>SP1000P550</f>
        <v>0</v>
      </c>
      <c r="F40" s="256" t="str">
        <f t="shared" si="2"/>
        <v xml:space="preserve"> </v>
      </c>
      <c r="H40" s="522" t="s">
        <v>105</v>
      </c>
      <c r="I40" s="522"/>
      <c r="J40" s="522"/>
      <c r="K40" s="522"/>
      <c r="L40" s="347">
        <f>SalaryPercentageIncrease</f>
        <v>2.9000000000000001E-2</v>
      </c>
      <c r="M40" s="525"/>
      <c r="N40" s="381"/>
    </row>
    <row r="41" spans="1:14" ht="12" customHeight="1">
      <c r="A41" s="374"/>
      <c r="B41" s="375"/>
      <c r="C41" s="370" t="s">
        <v>80</v>
      </c>
      <c r="D41" s="357">
        <f>SUM(D35:D40)+D21</f>
        <v>1752693</v>
      </c>
      <c r="E41" s="357">
        <f>SUM(E35:E40)+E21</f>
        <v>1862703</v>
      </c>
      <c r="F41" s="256">
        <f t="shared" si="2"/>
        <v>6.3E-2</v>
      </c>
      <c r="H41" s="526" t="str">
        <f>IF(AverageSalaryCalculationComment&lt;&gt;"",AverageSalaryCalculationComment,"")</f>
        <v>Comments on average salary calculation (optional):  This does not include performance or stipends.</v>
      </c>
      <c r="I41" s="527"/>
      <c r="J41" s="527"/>
      <c r="K41" s="527"/>
      <c r="L41" s="528"/>
      <c r="M41" s="525"/>
    </row>
    <row r="42" spans="1:14" ht="12" customHeight="1">
      <c r="D42" s="373"/>
      <c r="E42" s="373"/>
      <c r="F42" s="258"/>
      <c r="H42" s="529"/>
      <c r="I42" s="530"/>
      <c r="J42" s="530"/>
      <c r="K42" s="530"/>
      <c r="L42" s="531"/>
      <c r="M42" s="525"/>
    </row>
    <row r="43" spans="1:14" ht="12" customHeight="1">
      <c r="H43" s="529"/>
      <c r="I43" s="530"/>
      <c r="J43" s="530"/>
      <c r="K43" s="530"/>
      <c r="L43" s="531"/>
      <c r="M43" s="525"/>
    </row>
    <row r="44" spans="1:14" ht="12" customHeight="1">
      <c r="H44" s="529"/>
      <c r="I44" s="530"/>
      <c r="J44" s="530"/>
      <c r="K44" s="530"/>
      <c r="L44" s="531"/>
      <c r="M44" s="525"/>
    </row>
    <row r="45" spans="1:14" ht="12" customHeight="1">
      <c r="H45" s="529"/>
      <c r="I45" s="530"/>
      <c r="J45" s="530"/>
      <c r="K45" s="530"/>
      <c r="L45" s="531"/>
      <c r="M45" s="525"/>
    </row>
    <row r="46" spans="1:14" ht="12" customHeight="1">
      <c r="H46" s="529"/>
      <c r="I46" s="530"/>
      <c r="J46" s="530"/>
      <c r="K46" s="530"/>
      <c r="L46" s="531"/>
      <c r="M46" s="384"/>
    </row>
    <row r="47" spans="1:14" ht="12" customHeight="1">
      <c r="H47" s="532"/>
      <c r="I47" s="533"/>
      <c r="J47" s="533"/>
      <c r="K47" s="533"/>
      <c r="L47" s="534"/>
      <c r="M47" s="384"/>
    </row>
    <row r="48" spans="1:14" ht="12.75" customHeight="1"/>
    <row r="49" spans="8:8" ht="12.75" customHeight="1"/>
    <row r="50" spans="8:8" ht="12.75" customHeight="1"/>
    <row r="51" spans="8:8" ht="12.75" customHeight="1"/>
    <row r="52" spans="8:8" ht="12.75" customHeight="1"/>
    <row r="53" spans="8:8" ht="12.75" customHeight="1">
      <c r="H53" s="385"/>
    </row>
    <row r="54" spans="8:8" ht="12.75" customHeight="1"/>
    <row r="55" spans="8:8" ht="12.75" customHeight="1"/>
  </sheetData>
  <sheetProtection sheet="1" objects="1" scenarios="1"/>
  <mergeCells count="14">
    <mergeCell ref="H39:K39"/>
    <mergeCell ref="H40:K40"/>
    <mergeCell ref="J22:K22"/>
    <mergeCell ref="H37:K37"/>
    <mergeCell ref="M35:M45"/>
    <mergeCell ref="H38:K38"/>
    <mergeCell ref="H41:L47"/>
    <mergeCell ref="H21:L21"/>
    <mergeCell ref="H35:L35"/>
    <mergeCell ref="A1:J1"/>
    <mergeCell ref="H3:M7"/>
    <mergeCell ref="D3:E3"/>
    <mergeCell ref="K9:L9"/>
    <mergeCell ref="H19:J19"/>
  </mergeCells>
  <printOptions horizontalCentered="1" verticalCentered="1"/>
  <pageMargins left="0.75" right="0.5" top="0.25" bottom="0.25" header="0" footer="0"/>
  <pageSetup paperSize="5" scale="76" orientation="landscape" r:id="rId1"/>
  <headerFooter>
    <oddFooter>&amp;L&amp;"Arial,Bold"Rev.5/23 Arizona Department of Education and Auditor General&amp;R&amp;"Arial,Bold"Budget Summary</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C85"/>
  <sheetViews>
    <sheetView showGridLines="0" topLeftCell="A46" zoomScaleNormal="100" zoomScaleSheetLayoutView="100" workbookViewId="0">
      <selection activeCell="N71" sqref="N71"/>
    </sheetView>
  </sheetViews>
  <sheetFormatPr defaultColWidth="9" defaultRowHeight="12.75"/>
  <cols>
    <col min="1" max="2" width="3.42578125" customWidth="1"/>
    <col min="3" max="3" width="5.42578125" customWidth="1"/>
    <col min="4" max="4" width="6.42578125" customWidth="1"/>
    <col min="5" max="5" width="31" customWidth="1"/>
    <col min="6" max="6" width="1.5703125" customWidth="1"/>
    <col min="7" max="7" width="12.5703125" customWidth="1"/>
    <col min="8" max="8" width="1.5703125" customWidth="1"/>
    <col min="9" max="10" width="12.5703125" customWidth="1"/>
    <col min="11" max="11" width="1.5703125" customWidth="1"/>
    <col min="12" max="12" width="10.5703125" customWidth="1"/>
    <col min="13" max="15" width="12.5703125" customWidth="1"/>
    <col min="16" max="19" width="10.5703125" customWidth="1"/>
    <col min="20" max="20" width="9" customWidth="1"/>
  </cols>
  <sheetData>
    <row r="1" spans="1:29">
      <c r="A1" t="s">
        <v>181</v>
      </c>
      <c r="B1" s="386"/>
      <c r="C1" s="386"/>
      <c r="D1" s="386"/>
      <c r="E1" s="387" t="str">
        <f>CharterName</f>
        <v>Legacy Education Group, Inc.</v>
      </c>
      <c r="F1" s="388"/>
      <c r="G1" s="42"/>
      <c r="I1" s="42"/>
      <c r="K1" s="33" t="s">
        <v>128</v>
      </c>
      <c r="L1" s="35" t="str">
        <f>Cover!M1</f>
        <v>Maricopa</v>
      </c>
      <c r="M1" s="34"/>
      <c r="N1" s="113"/>
      <c r="O1" s="33" t="s">
        <v>220</v>
      </c>
      <c r="P1" s="36" t="str">
        <f>CTD</f>
        <v>078507000</v>
      </c>
    </row>
    <row r="2" spans="1:29" ht="24.75" customHeight="1"/>
    <row r="4" spans="1:29" ht="15.75">
      <c r="A4" s="389" t="s">
        <v>245</v>
      </c>
      <c r="C4" s="200"/>
      <c r="D4" s="266"/>
      <c r="E4" s="101"/>
      <c r="F4" s="101"/>
      <c r="Q4" s="451"/>
      <c r="R4" s="451"/>
      <c r="S4" s="451"/>
      <c r="T4" s="451"/>
      <c r="U4" s="451"/>
      <c r="V4" s="451"/>
      <c r="W4" s="451"/>
      <c r="X4" s="451"/>
      <c r="Y4" s="451"/>
      <c r="Z4" s="451"/>
      <c r="AA4" s="451"/>
      <c r="AB4" s="451"/>
      <c r="AC4" s="451"/>
    </row>
    <row r="6" spans="1:29" s="164" customFormat="1" ht="114" customHeight="1">
      <c r="A6" s="390" t="str">
        <f>IF(B8="X","X",IF(B9="x","x",IF(B10="X","X",IF(B11="X","X",""))))</f>
        <v/>
      </c>
      <c r="B6" s="537" t="s">
        <v>392</v>
      </c>
      <c r="C6" s="537"/>
      <c r="D6" s="537"/>
      <c r="E6" s="537"/>
      <c r="F6" s="537"/>
      <c r="G6" s="537"/>
      <c r="H6" s="537"/>
      <c r="I6" s="537"/>
      <c r="J6" s="537"/>
      <c r="K6" s="537"/>
      <c r="L6" s="537"/>
      <c r="M6" s="537"/>
      <c r="N6" s="537"/>
      <c r="O6" s="391"/>
    </row>
    <row r="7" spans="1:29">
      <c r="J7" s="222"/>
      <c r="K7" s="222"/>
      <c r="L7" s="222"/>
      <c r="M7" s="507" t="s">
        <v>361</v>
      </c>
      <c r="N7" s="507"/>
    </row>
    <row r="8" spans="1:29" ht="38.25" customHeight="1">
      <c r="A8" s="266"/>
      <c r="B8" s="22"/>
      <c r="D8" s="569" t="s">
        <v>160</v>
      </c>
      <c r="E8" s="569"/>
      <c r="F8" s="569"/>
      <c r="G8" s="569"/>
      <c r="H8" s="569"/>
      <c r="I8" s="569"/>
      <c r="J8" s="550" t="str">
        <f>IF(B8&lt;&gt;"x","No additional information required","Please enter the name of the management company.")</f>
        <v>No additional information required</v>
      </c>
      <c r="K8" s="550"/>
      <c r="L8" s="550"/>
      <c r="M8" s="553"/>
      <c r="N8" s="553"/>
      <c r="O8" s="132"/>
      <c r="Q8" s="166" t="s">
        <v>162</v>
      </c>
    </row>
    <row r="9" spans="1:29" ht="39" customHeight="1" thickBot="1">
      <c r="A9" s="266"/>
      <c r="B9" s="23"/>
      <c r="D9" s="569" t="s">
        <v>252</v>
      </c>
      <c r="E9" s="569"/>
      <c r="F9" s="569"/>
      <c r="G9" s="569"/>
      <c r="H9" s="569"/>
      <c r="I9" s="569"/>
      <c r="J9" s="550" t="str">
        <f>IF(B9&lt;&gt;"x","No additional information required","Please enter the name of any other charter holder with identical membership.")</f>
        <v>No additional information required</v>
      </c>
      <c r="K9" s="550"/>
      <c r="L9" s="550"/>
      <c r="M9" s="553"/>
      <c r="N9" s="553"/>
      <c r="O9" s="132"/>
      <c r="Q9" s="166" t="s">
        <v>135</v>
      </c>
    </row>
    <row r="10" spans="1:29" ht="27.75" customHeight="1" thickBot="1">
      <c r="A10" s="266"/>
      <c r="B10" s="24"/>
      <c r="D10" s="569" t="s">
        <v>253</v>
      </c>
      <c r="E10" s="569"/>
      <c r="F10" s="569"/>
      <c r="G10" s="569"/>
      <c r="H10" s="569"/>
      <c r="I10" s="569"/>
      <c r="J10" s="550" t="str">
        <f>IF(B10&lt;&gt;"x","No additional information required","Please enter the name of the corporation.")</f>
        <v>No additional information required</v>
      </c>
      <c r="K10" s="550"/>
      <c r="L10" s="550"/>
      <c r="M10" s="553"/>
      <c r="N10" s="553"/>
      <c r="O10" s="132"/>
      <c r="Q10" s="166"/>
    </row>
    <row r="11" spans="1:29" ht="27.75" customHeight="1" thickBot="1">
      <c r="A11" s="266"/>
      <c r="B11" s="24"/>
      <c r="D11" s="570" t="s">
        <v>254</v>
      </c>
      <c r="E11" s="570"/>
      <c r="F11" s="570"/>
      <c r="G11" s="570"/>
      <c r="H11" s="570"/>
      <c r="I11" s="570"/>
      <c r="M11" s="113"/>
      <c r="N11" s="113"/>
      <c r="O11" s="113"/>
    </row>
    <row r="12" spans="1:29">
      <c r="A12" s="266"/>
      <c r="B12" s="266"/>
      <c r="C12" s="144"/>
      <c r="D12" s="144"/>
      <c r="E12" s="144"/>
      <c r="F12" s="144"/>
      <c r="G12" s="144"/>
      <c r="H12" s="144"/>
      <c r="I12" s="144"/>
      <c r="J12" s="144"/>
      <c r="K12" s="144"/>
      <c r="L12" s="144"/>
      <c r="M12" s="144"/>
      <c r="N12" s="144"/>
      <c r="O12" s="144"/>
    </row>
    <row r="13" spans="1:29">
      <c r="B13" s="101" t="s">
        <v>246</v>
      </c>
      <c r="C13" s="101"/>
      <c r="D13" s="101"/>
      <c r="E13" s="101"/>
    </row>
    <row r="14" spans="1:29" ht="80.25" customHeight="1">
      <c r="B14" s="537" t="s">
        <v>495</v>
      </c>
      <c r="C14" s="537"/>
      <c r="D14" s="537"/>
      <c r="E14" s="537"/>
      <c r="F14" s="537"/>
      <c r="G14" s="537"/>
      <c r="H14" s="537"/>
      <c r="I14" s="537"/>
      <c r="J14" s="537"/>
      <c r="K14" s="537"/>
      <c r="L14" s="537"/>
      <c r="M14" s="537"/>
      <c r="N14" s="537"/>
    </row>
    <row r="15" spans="1:29" ht="13.5" customHeight="1">
      <c r="B15" s="124"/>
      <c r="C15" s="124"/>
      <c r="D15" s="124"/>
      <c r="E15" s="124"/>
      <c r="F15" s="124"/>
      <c r="G15" s="124"/>
      <c r="H15" s="124"/>
      <c r="I15" s="124"/>
      <c r="J15" s="124"/>
      <c r="K15" s="124"/>
      <c r="L15" s="124"/>
      <c r="M15" s="124"/>
      <c r="N15" s="124"/>
    </row>
    <row r="16" spans="1:29">
      <c r="B16" s="557" t="s">
        <v>247</v>
      </c>
      <c r="C16" s="557"/>
      <c r="D16" s="557"/>
      <c r="E16" s="557"/>
      <c r="F16" s="488" t="s">
        <v>129</v>
      </c>
      <c r="G16" s="489"/>
      <c r="H16" s="488" t="s">
        <v>130</v>
      </c>
      <c r="I16" s="573"/>
      <c r="J16" s="489"/>
      <c r="K16" s="554" t="s">
        <v>131</v>
      </c>
      <c r="L16" s="555"/>
      <c r="M16" s="556"/>
    </row>
    <row r="17" spans="1:16">
      <c r="B17" s="558" t="s">
        <v>248</v>
      </c>
      <c r="C17" s="559"/>
      <c r="D17" s="559"/>
      <c r="E17" s="560"/>
      <c r="F17" s="564"/>
      <c r="G17" s="552"/>
      <c r="H17" s="392"/>
      <c r="I17" s="551"/>
      <c r="J17" s="552"/>
      <c r="K17" s="318"/>
      <c r="L17" s="551">
        <v>150</v>
      </c>
      <c r="M17" s="552"/>
      <c r="N17" s="222"/>
    </row>
    <row r="18" spans="1:16">
      <c r="B18" s="561" t="s">
        <v>249</v>
      </c>
      <c r="C18" s="562"/>
      <c r="D18" s="562"/>
      <c r="E18" s="563"/>
      <c r="F18" s="393"/>
      <c r="G18" s="394"/>
      <c r="H18" s="395" t="s">
        <v>136</v>
      </c>
      <c r="I18" s="542"/>
      <c r="J18" s="543"/>
      <c r="K18" s="117" t="s">
        <v>136</v>
      </c>
      <c r="L18" s="548"/>
      <c r="M18" s="549"/>
      <c r="N18" s="222"/>
    </row>
    <row r="19" spans="1:16">
      <c r="B19" s="561" t="s">
        <v>250</v>
      </c>
      <c r="C19" s="562"/>
      <c r="D19" s="562"/>
      <c r="E19" s="563"/>
      <c r="F19" s="393"/>
      <c r="G19" s="394"/>
      <c r="H19" s="395" t="s">
        <v>136</v>
      </c>
      <c r="I19" s="542"/>
      <c r="J19" s="543"/>
      <c r="K19" s="117" t="s">
        <v>136</v>
      </c>
      <c r="L19" s="548"/>
      <c r="M19" s="549"/>
    </row>
    <row r="20" spans="1:16">
      <c r="B20" s="566" t="s">
        <v>251</v>
      </c>
      <c r="C20" s="567"/>
      <c r="D20" s="567"/>
      <c r="E20" s="568"/>
      <c r="F20" s="79" t="s">
        <v>134</v>
      </c>
      <c r="G20" s="396">
        <f>F17</f>
        <v>0</v>
      </c>
      <c r="H20" s="73" t="s">
        <v>134</v>
      </c>
      <c r="I20" s="546">
        <f>I17+I18+I19</f>
        <v>0</v>
      </c>
      <c r="J20" s="547"/>
      <c r="K20" s="79" t="s">
        <v>134</v>
      </c>
      <c r="L20" s="546">
        <f>L17+L18+L19</f>
        <v>150</v>
      </c>
      <c r="M20" s="547"/>
    </row>
    <row r="22" spans="1:16">
      <c r="B22" s="101" t="s">
        <v>255</v>
      </c>
    </row>
    <row r="23" spans="1:16" ht="26.25" customHeight="1">
      <c r="B23" s="537" t="s">
        <v>256</v>
      </c>
      <c r="C23" s="537"/>
      <c r="D23" s="537"/>
      <c r="E23" s="537"/>
      <c r="F23" s="537"/>
      <c r="G23" s="537"/>
      <c r="H23" s="537"/>
      <c r="I23" s="537"/>
      <c r="J23" s="537"/>
      <c r="K23" s="537"/>
      <c r="L23" s="537"/>
      <c r="M23" s="537"/>
      <c r="N23" s="537"/>
    </row>
    <row r="24" spans="1:16">
      <c r="B24" s="397"/>
      <c r="C24" s="398"/>
      <c r="D24" s="398"/>
      <c r="E24" s="398"/>
      <c r="F24" s="398"/>
      <c r="G24" s="398"/>
      <c r="H24" s="398"/>
      <c r="I24" s="398"/>
      <c r="J24" s="398"/>
      <c r="K24" s="398"/>
      <c r="L24" s="398"/>
      <c r="M24" s="398"/>
    </row>
    <row r="25" spans="1:16">
      <c r="B25" s="225" t="s">
        <v>247</v>
      </c>
      <c r="C25" s="225"/>
      <c r="D25" s="225"/>
      <c r="E25" s="225"/>
      <c r="F25" s="488" t="s">
        <v>129</v>
      </c>
      <c r="G25" s="489"/>
      <c r="H25" s="488" t="s">
        <v>130</v>
      </c>
      <c r="I25" s="573"/>
      <c r="J25" s="489"/>
      <c r="K25" s="554" t="s">
        <v>131</v>
      </c>
      <c r="L25" s="555"/>
      <c r="M25" s="556"/>
    </row>
    <row r="26" spans="1:16">
      <c r="B26" s="73" t="s">
        <v>248</v>
      </c>
      <c r="C26" s="145"/>
      <c r="D26" s="317"/>
      <c r="F26" s="56"/>
      <c r="G26" s="29"/>
      <c r="I26" s="538"/>
      <c r="J26" s="539"/>
      <c r="K26" s="73"/>
      <c r="L26" s="538"/>
      <c r="M26" s="539"/>
      <c r="P26" s="42"/>
    </row>
    <row r="27" spans="1:16">
      <c r="B27" s="79" t="s">
        <v>249</v>
      </c>
      <c r="C27" s="263"/>
      <c r="D27" s="399"/>
      <c r="E27" s="400"/>
      <c r="F27" s="401"/>
      <c r="G27" s="402"/>
      <c r="H27" s="263" t="s">
        <v>136</v>
      </c>
      <c r="I27" s="542"/>
      <c r="J27" s="543"/>
      <c r="K27" s="79" t="s">
        <v>136</v>
      </c>
      <c r="L27" s="548"/>
      <c r="M27" s="549"/>
    </row>
    <row r="28" spans="1:16">
      <c r="B28" s="79" t="s">
        <v>250</v>
      </c>
      <c r="C28" s="263"/>
      <c r="D28" s="263"/>
      <c r="E28" s="403"/>
      <c r="F28" s="401"/>
      <c r="G28" s="402"/>
      <c r="H28" s="263" t="s">
        <v>136</v>
      </c>
      <c r="I28" s="542"/>
      <c r="J28" s="543"/>
      <c r="K28" s="79" t="s">
        <v>136</v>
      </c>
      <c r="L28" s="548"/>
      <c r="M28" s="549"/>
    </row>
    <row r="29" spans="1:16">
      <c r="B29" s="73" t="s">
        <v>251</v>
      </c>
      <c r="C29" s="145"/>
      <c r="D29" s="317"/>
      <c r="E29" s="73"/>
      <c r="F29" s="73" t="s">
        <v>134</v>
      </c>
      <c r="G29" s="396">
        <f>G26</f>
        <v>0</v>
      </c>
      <c r="H29" s="79" t="s">
        <v>134</v>
      </c>
      <c r="I29" s="546">
        <f>I26+I27+I28</f>
        <v>0</v>
      </c>
      <c r="J29" s="547"/>
      <c r="K29" s="79" t="s">
        <v>134</v>
      </c>
      <c r="L29" s="574">
        <f>L26+L27+L28</f>
        <v>0</v>
      </c>
      <c r="M29" s="575"/>
    </row>
    <row r="30" spans="1:16">
      <c r="B30" s="92"/>
    </row>
    <row r="31" spans="1:16">
      <c r="A31" s="404"/>
      <c r="B31" s="404"/>
      <c r="C31" s="405"/>
      <c r="D31" s="405"/>
      <c r="E31" s="406"/>
      <c r="F31" s="406"/>
      <c r="G31" s="405"/>
      <c r="H31" s="405"/>
      <c r="I31" s="407"/>
      <c r="K31" s="407"/>
    </row>
    <row r="32" spans="1:16" ht="15.75" customHeight="1">
      <c r="A32" s="408" t="s">
        <v>257</v>
      </c>
      <c r="C32" s="101"/>
      <c r="D32" s="101"/>
      <c r="E32" s="101"/>
      <c r="G32" s="409"/>
      <c r="H32" s="409"/>
      <c r="I32" s="409"/>
      <c r="J32" s="409"/>
      <c r="K32" s="409"/>
      <c r="L32" s="409"/>
      <c r="M32" s="409"/>
      <c r="N32" s="409"/>
      <c r="O32" s="409"/>
    </row>
    <row r="33" spans="1:21" ht="12.75" customHeight="1">
      <c r="A33" s="408"/>
      <c r="C33" s="101"/>
      <c r="D33" s="101"/>
      <c r="E33" s="101"/>
      <c r="G33" s="409"/>
      <c r="H33" s="409"/>
      <c r="I33" s="409"/>
      <c r="J33" s="409"/>
      <c r="K33" s="409"/>
      <c r="L33" s="409"/>
      <c r="M33" s="409"/>
      <c r="N33" s="409"/>
      <c r="O33" s="409"/>
    </row>
    <row r="34" spans="1:21" ht="12.75" customHeight="1">
      <c r="A34" s="408"/>
      <c r="B34" s="101" t="s">
        <v>258</v>
      </c>
      <c r="C34" s="101"/>
      <c r="D34" s="101"/>
      <c r="E34" s="101"/>
      <c r="G34" s="409"/>
      <c r="H34" s="409"/>
      <c r="I34" s="409"/>
      <c r="J34" s="409"/>
      <c r="K34" s="409"/>
      <c r="L34" s="409"/>
      <c r="M34" s="409"/>
      <c r="N34" s="409"/>
      <c r="O34" s="409"/>
    </row>
    <row r="35" spans="1:21" ht="137.25" customHeight="1">
      <c r="A35" s="101"/>
      <c r="B35" s="537" t="s">
        <v>452</v>
      </c>
      <c r="C35" s="537"/>
      <c r="D35" s="537"/>
      <c r="E35" s="537"/>
      <c r="F35" s="537"/>
      <c r="G35" s="537"/>
      <c r="H35" s="537"/>
      <c r="I35" s="537"/>
      <c r="J35" s="537"/>
      <c r="K35" s="537"/>
      <c r="L35" s="537"/>
      <c r="M35" s="537"/>
      <c r="N35" s="537"/>
      <c r="O35" s="409"/>
    </row>
    <row r="36" spans="1:21" ht="12.75" customHeight="1">
      <c r="A36" s="101"/>
      <c r="B36" s="227"/>
      <c r="C36" s="227"/>
      <c r="D36" s="227"/>
      <c r="E36" s="227"/>
      <c r="F36" s="227"/>
      <c r="G36" s="227"/>
      <c r="H36" s="227"/>
      <c r="I36" s="227"/>
      <c r="J36" s="227"/>
      <c r="K36" s="227"/>
      <c r="L36" s="227"/>
      <c r="M36" s="227"/>
      <c r="N36" s="227"/>
      <c r="O36" s="409"/>
    </row>
    <row r="37" spans="1:21" ht="51.75" customHeight="1">
      <c r="B37" s="410"/>
      <c r="C37" s="397"/>
      <c r="D37" s="397"/>
      <c r="E37" s="397"/>
      <c r="I37" s="411" t="s">
        <v>248</v>
      </c>
      <c r="J37" s="411" t="s">
        <v>259</v>
      </c>
      <c r="K37" s="571" t="s">
        <v>260</v>
      </c>
      <c r="L37" s="572"/>
      <c r="M37" s="412"/>
      <c r="O37" s="412"/>
      <c r="P37" s="412"/>
      <c r="R37" s="412"/>
      <c r="S37" s="412"/>
      <c r="U37" s="154"/>
    </row>
    <row r="38" spans="1:21">
      <c r="A38" s="102"/>
      <c r="B38" s="102">
        <v>1</v>
      </c>
      <c r="C38" s="164" t="s">
        <v>137</v>
      </c>
      <c r="I38" s="30"/>
      <c r="J38" s="31"/>
      <c r="K38" s="535"/>
      <c r="L38" s="536"/>
      <c r="M38" s="414"/>
      <c r="N38" s="119"/>
      <c r="O38" s="409"/>
      <c r="P38" s="414"/>
      <c r="R38" s="409"/>
      <c r="S38" s="414"/>
    </row>
    <row r="39" spans="1:21">
      <c r="A39" s="102"/>
      <c r="B39" s="102">
        <v>2</v>
      </c>
      <c r="C39" s="164" t="s">
        <v>138</v>
      </c>
      <c r="I39" s="30"/>
      <c r="J39" s="31"/>
      <c r="K39" s="535"/>
      <c r="L39" s="536"/>
      <c r="M39" s="414"/>
      <c r="N39" s="119"/>
      <c r="O39" s="409"/>
      <c r="P39" s="414"/>
      <c r="R39" s="409"/>
      <c r="S39" s="414"/>
    </row>
    <row r="40" spans="1:21">
      <c r="A40" s="102"/>
      <c r="B40" s="102">
        <v>3</v>
      </c>
      <c r="C40" s="164" t="s">
        <v>139</v>
      </c>
      <c r="I40" s="30"/>
      <c r="J40" s="31"/>
      <c r="K40" s="535"/>
      <c r="L40" s="536"/>
      <c r="M40" s="414"/>
      <c r="N40" s="119"/>
      <c r="O40" s="409"/>
      <c r="P40" s="414"/>
      <c r="R40" s="409"/>
      <c r="S40" s="414"/>
    </row>
    <row r="41" spans="1:21">
      <c r="A41" s="102"/>
      <c r="B41" s="102">
        <v>4</v>
      </c>
      <c r="C41" s="164" t="s">
        <v>140</v>
      </c>
      <c r="I41" s="30"/>
      <c r="J41" s="31"/>
      <c r="K41" s="535"/>
      <c r="L41" s="536"/>
      <c r="M41" s="414"/>
      <c r="N41" s="119"/>
      <c r="O41" s="409"/>
      <c r="P41" s="414"/>
      <c r="R41" s="409"/>
      <c r="S41" s="414"/>
    </row>
    <row r="42" spans="1:21">
      <c r="A42" s="102"/>
      <c r="B42" s="102">
        <v>5</v>
      </c>
      <c r="C42" s="164" t="s">
        <v>172</v>
      </c>
      <c r="I42" s="30">
        <v>7</v>
      </c>
      <c r="J42" s="31"/>
      <c r="K42" s="535"/>
      <c r="L42" s="536"/>
      <c r="M42" s="414"/>
      <c r="N42" s="119"/>
      <c r="O42" s="409"/>
      <c r="P42" s="414"/>
      <c r="R42" s="409"/>
      <c r="S42" s="414"/>
    </row>
    <row r="43" spans="1:21">
      <c r="A43" s="102"/>
      <c r="B43" s="102">
        <v>6</v>
      </c>
      <c r="C43" s="164" t="s">
        <v>173</v>
      </c>
      <c r="I43" s="30"/>
      <c r="J43" s="31"/>
      <c r="K43" s="535"/>
      <c r="L43" s="536"/>
      <c r="M43" s="414"/>
      <c r="N43" s="119"/>
      <c r="O43" s="409"/>
      <c r="P43" s="414"/>
      <c r="R43" s="409"/>
      <c r="S43" s="414"/>
    </row>
    <row r="44" spans="1:21">
      <c r="A44" s="102"/>
      <c r="B44" s="102">
        <v>7</v>
      </c>
      <c r="C44" s="164" t="s">
        <v>141</v>
      </c>
      <c r="I44" s="30"/>
      <c r="J44" s="31"/>
      <c r="K44" s="535"/>
      <c r="L44" s="536"/>
      <c r="M44" s="414"/>
      <c r="N44" s="119"/>
      <c r="O44" s="409"/>
      <c r="P44" s="414"/>
      <c r="R44" s="409"/>
      <c r="S44" s="414"/>
    </row>
    <row r="45" spans="1:21">
      <c r="A45" s="102"/>
      <c r="B45" s="102">
        <v>8</v>
      </c>
      <c r="C45" s="164" t="s">
        <v>142</v>
      </c>
      <c r="I45" s="30"/>
      <c r="J45" s="31"/>
      <c r="K45" s="535"/>
      <c r="L45" s="536"/>
      <c r="M45" s="414"/>
      <c r="N45" s="119"/>
      <c r="O45" s="409"/>
      <c r="P45" s="414"/>
      <c r="R45" s="409"/>
      <c r="S45" s="414"/>
    </row>
    <row r="46" spans="1:21">
      <c r="A46" s="102"/>
      <c r="B46" s="102">
        <v>9</v>
      </c>
      <c r="C46" s="164" t="s">
        <v>143</v>
      </c>
      <c r="I46" s="30"/>
      <c r="J46" s="31"/>
      <c r="K46" s="535"/>
      <c r="L46" s="536"/>
      <c r="M46" s="414"/>
      <c r="N46" s="119"/>
      <c r="O46" s="409"/>
      <c r="P46" s="414"/>
      <c r="R46" s="409"/>
      <c r="S46" s="414"/>
    </row>
    <row r="47" spans="1:21">
      <c r="A47" s="102"/>
      <c r="B47" s="102">
        <v>10</v>
      </c>
      <c r="C47" s="164" t="s">
        <v>144</v>
      </c>
      <c r="I47" s="30"/>
      <c r="J47" s="415"/>
      <c r="K47" s="544"/>
      <c r="L47" s="545"/>
      <c r="M47" s="414"/>
      <c r="N47" s="119"/>
      <c r="O47" s="409"/>
      <c r="P47" s="414"/>
      <c r="R47" s="409"/>
      <c r="S47" s="414"/>
    </row>
    <row r="48" spans="1:21">
      <c r="A48" s="102"/>
      <c r="B48" s="102">
        <v>11</v>
      </c>
      <c r="C48" s="164" t="s">
        <v>174</v>
      </c>
      <c r="I48" s="30">
        <v>35</v>
      </c>
      <c r="J48" s="31"/>
      <c r="K48" s="535"/>
      <c r="L48" s="536"/>
      <c r="M48" s="414"/>
      <c r="N48" s="119"/>
      <c r="O48" s="409"/>
      <c r="P48" s="414"/>
      <c r="R48" s="409"/>
      <c r="S48" s="414"/>
    </row>
    <row r="49" spans="1:19">
      <c r="A49" s="102"/>
      <c r="B49" s="102">
        <v>12</v>
      </c>
      <c r="C49" s="164" t="s">
        <v>145</v>
      </c>
      <c r="I49" s="30"/>
      <c r="J49" s="31"/>
      <c r="K49" s="535"/>
      <c r="L49" s="536"/>
      <c r="M49" s="414"/>
      <c r="N49" s="119"/>
      <c r="O49" s="409"/>
      <c r="P49" s="414"/>
      <c r="R49" s="409"/>
      <c r="S49" s="414"/>
    </row>
    <row r="50" spans="1:19">
      <c r="A50" s="102"/>
      <c r="B50" s="102">
        <v>13</v>
      </c>
      <c r="C50" s="164" t="s">
        <v>146</v>
      </c>
      <c r="I50" s="30"/>
      <c r="J50" s="31"/>
      <c r="K50" s="535"/>
      <c r="L50" s="536"/>
      <c r="M50" s="414"/>
      <c r="N50" s="119"/>
      <c r="O50" s="409"/>
      <c r="P50" s="414"/>
      <c r="R50" s="409"/>
      <c r="S50" s="414"/>
    </row>
    <row r="51" spans="1:19">
      <c r="A51" s="102"/>
      <c r="B51" s="102">
        <v>14</v>
      </c>
      <c r="C51" s="164" t="s">
        <v>147</v>
      </c>
      <c r="I51" s="30"/>
      <c r="J51" s="31"/>
      <c r="K51" s="535"/>
      <c r="L51" s="536"/>
      <c r="M51" s="414"/>
      <c r="N51" s="119"/>
      <c r="O51" s="409"/>
      <c r="P51" s="414"/>
      <c r="R51" s="409"/>
      <c r="S51" s="414"/>
    </row>
    <row r="52" spans="1:19">
      <c r="A52" s="102"/>
      <c r="B52" s="102">
        <v>15</v>
      </c>
      <c r="C52" s="416" t="s">
        <v>460</v>
      </c>
      <c r="D52" s="222"/>
      <c r="E52" s="222"/>
      <c r="I52" s="30"/>
      <c r="J52" s="31"/>
      <c r="K52" s="535"/>
      <c r="L52" s="536"/>
      <c r="M52" s="414"/>
      <c r="N52" s="119"/>
      <c r="O52" s="409"/>
      <c r="P52" s="414"/>
      <c r="R52" s="409"/>
      <c r="S52" s="414"/>
    </row>
    <row r="53" spans="1:19">
      <c r="A53" s="102"/>
      <c r="B53" s="102">
        <v>16</v>
      </c>
      <c r="C53" s="137" t="s">
        <v>465</v>
      </c>
      <c r="D53" s="137"/>
      <c r="E53" s="137"/>
      <c r="F53" s="137"/>
      <c r="G53" s="137"/>
      <c r="I53" s="30"/>
      <c r="J53" s="31"/>
      <c r="K53" s="535"/>
      <c r="L53" s="536"/>
      <c r="M53" s="414"/>
      <c r="N53" s="119"/>
      <c r="O53" s="119"/>
      <c r="P53" s="414"/>
      <c r="R53" s="414"/>
      <c r="S53" s="414"/>
    </row>
    <row r="54" spans="1:19">
      <c r="A54" s="102"/>
      <c r="B54" s="102">
        <v>17</v>
      </c>
      <c r="C54" t="s">
        <v>496</v>
      </c>
      <c r="D54" s="222"/>
      <c r="E54" s="222"/>
      <c r="I54" s="413">
        <f>SUM(I38:I53)</f>
        <v>42</v>
      </c>
      <c r="J54" s="417">
        <f>SUM(J38:J53)</f>
        <v>0</v>
      </c>
      <c r="K54" s="540">
        <f>SUM(K38:K53)</f>
        <v>0</v>
      </c>
      <c r="L54" s="541"/>
      <c r="M54" s="414"/>
      <c r="N54" s="119"/>
      <c r="O54" s="119"/>
      <c r="P54" s="414"/>
      <c r="R54" s="414"/>
      <c r="S54" s="414"/>
    </row>
    <row r="55" spans="1:19" ht="14.25" customHeight="1">
      <c r="A55" s="102"/>
      <c r="B55" s="418" t="s">
        <v>169</v>
      </c>
      <c r="C55" s="164" t="s">
        <v>166</v>
      </c>
      <c r="D55" s="164"/>
      <c r="E55" s="164"/>
      <c r="F55" s="164"/>
      <c r="G55" s="164"/>
      <c r="H55" s="164"/>
      <c r="I55" s="419"/>
      <c r="J55" s="420"/>
      <c r="K55" s="421"/>
      <c r="L55" s="421"/>
      <c r="M55" s="422"/>
      <c r="N55" s="423"/>
      <c r="O55" s="119"/>
      <c r="P55" s="414"/>
      <c r="R55" s="414"/>
      <c r="S55" s="414"/>
    </row>
    <row r="56" spans="1:19" ht="14.25" customHeight="1">
      <c r="A56" s="102"/>
      <c r="B56" s="418" t="s">
        <v>170</v>
      </c>
      <c r="C56" s="164" t="s">
        <v>167</v>
      </c>
      <c r="D56" s="164"/>
      <c r="E56" s="164"/>
      <c r="F56" s="164"/>
      <c r="G56" s="164"/>
      <c r="H56" s="164"/>
      <c r="I56" s="419"/>
      <c r="J56" s="420"/>
      <c r="K56" s="421"/>
      <c r="L56" s="421"/>
      <c r="M56" s="422"/>
      <c r="N56" s="423"/>
      <c r="O56" s="119"/>
      <c r="P56" s="414"/>
      <c r="R56" s="414"/>
      <c r="S56" s="414"/>
    </row>
    <row r="57" spans="1:19">
      <c r="A57" s="102"/>
      <c r="B57" s="418" t="s">
        <v>171</v>
      </c>
      <c r="C57" s="497" t="s">
        <v>168</v>
      </c>
      <c r="D57" s="497"/>
      <c r="E57" s="497"/>
      <c r="F57" s="497"/>
      <c r="G57" s="497"/>
      <c r="H57" s="497"/>
      <c r="I57" s="497"/>
      <c r="J57" s="497"/>
      <c r="K57" s="497"/>
      <c r="L57" s="497"/>
      <c r="M57" s="497"/>
      <c r="N57" s="497"/>
      <c r="O57" s="119"/>
      <c r="P57" s="414"/>
      <c r="R57" s="414"/>
      <c r="S57" s="414"/>
    </row>
    <row r="58" spans="1:19">
      <c r="A58" s="102"/>
      <c r="B58" s="306"/>
      <c r="C58" s="497"/>
      <c r="D58" s="497"/>
      <c r="E58" s="497"/>
      <c r="F58" s="497"/>
      <c r="G58" s="497"/>
      <c r="H58" s="497"/>
      <c r="I58" s="497"/>
      <c r="J58" s="497"/>
      <c r="K58" s="497"/>
      <c r="L58" s="497"/>
      <c r="M58" s="497"/>
      <c r="N58" s="497"/>
      <c r="O58" s="119"/>
      <c r="P58" s="414"/>
      <c r="R58" s="414"/>
      <c r="S58" s="414"/>
    </row>
    <row r="59" spans="1:19">
      <c r="A59" s="102"/>
      <c r="B59" s="418" t="s">
        <v>461</v>
      </c>
      <c r="C59" s="164" t="s">
        <v>462</v>
      </c>
      <c r="D59" s="164"/>
      <c r="E59" s="132"/>
      <c r="F59" s="132"/>
      <c r="G59" s="132"/>
      <c r="H59" s="132"/>
      <c r="I59" s="132"/>
      <c r="J59" s="132"/>
      <c r="K59" s="132"/>
      <c r="L59" s="132"/>
      <c r="M59" s="132"/>
      <c r="N59" s="132"/>
      <c r="O59" s="119"/>
      <c r="P59" s="414"/>
      <c r="R59" s="414"/>
      <c r="S59" s="414"/>
    </row>
    <row r="60" spans="1:19" ht="12" customHeight="1">
      <c r="B60" s="424" t="s">
        <v>466</v>
      </c>
      <c r="C60" s="425" t="s">
        <v>514</v>
      </c>
      <c r="D60" s="426"/>
      <c r="E60" s="426"/>
      <c r="F60" s="426"/>
      <c r="G60" s="426"/>
      <c r="H60" s="426"/>
      <c r="I60" s="426"/>
      <c r="J60" s="426"/>
      <c r="K60" s="426"/>
      <c r="L60" s="426"/>
      <c r="M60" s="426"/>
      <c r="N60" s="426"/>
      <c r="O60" s="426"/>
      <c r="P60" s="427"/>
      <c r="Q60" s="427"/>
      <c r="R60" s="427"/>
      <c r="S60" s="427"/>
    </row>
    <row r="61" spans="1:19" ht="15.75">
      <c r="A61" s="408"/>
      <c r="C61" s="427"/>
      <c r="D61" s="427"/>
      <c r="E61" s="427"/>
      <c r="F61" s="427"/>
      <c r="G61" s="427"/>
      <c r="H61" s="427"/>
      <c r="I61" s="427"/>
      <c r="J61" s="427"/>
      <c r="K61" s="427"/>
      <c r="L61" s="427"/>
      <c r="M61" s="427"/>
      <c r="N61" s="427"/>
      <c r="O61" s="427"/>
      <c r="P61" s="427"/>
      <c r="Q61" s="427"/>
      <c r="R61" s="427"/>
      <c r="S61" s="427"/>
    </row>
    <row r="62" spans="1:19" ht="15.75">
      <c r="A62" s="408"/>
      <c r="C62" s="428"/>
      <c r="D62" s="428"/>
      <c r="E62" s="428"/>
      <c r="F62" s="428"/>
      <c r="G62" s="428"/>
      <c r="H62" s="428"/>
      <c r="I62" s="428"/>
      <c r="J62" s="428"/>
      <c r="K62" s="428"/>
      <c r="L62" s="428"/>
      <c r="M62" s="428"/>
      <c r="N62" s="428"/>
      <c r="O62" s="428"/>
      <c r="P62" s="428"/>
      <c r="Q62" s="427"/>
      <c r="R62" s="427"/>
      <c r="S62" s="427"/>
    </row>
    <row r="63" spans="1:19" ht="16.5" thickBot="1">
      <c r="A63" s="408" t="s">
        <v>261</v>
      </c>
    </row>
    <row r="64" spans="1:19" ht="13.5" thickBot="1">
      <c r="B64" s="429">
        <v>1</v>
      </c>
      <c r="C64" s="25"/>
      <c r="D64" s="462" t="s">
        <v>161</v>
      </c>
      <c r="E64" s="462"/>
      <c r="F64" s="462"/>
      <c r="G64" s="462"/>
      <c r="H64" s="462"/>
      <c r="I64" s="462"/>
      <c r="J64" s="462"/>
      <c r="K64" s="462"/>
      <c r="L64" s="462"/>
      <c r="M64" s="33"/>
      <c r="N64" s="430"/>
      <c r="O64" s="405"/>
      <c r="P64" s="405"/>
    </row>
    <row r="65" spans="1:14" ht="78" customHeight="1">
      <c r="B65" s="429"/>
      <c r="C65" s="537" t="s">
        <v>497</v>
      </c>
      <c r="D65" s="537"/>
      <c r="E65" s="537"/>
      <c r="F65" s="537"/>
      <c r="G65" s="537"/>
      <c r="H65" s="537"/>
      <c r="I65" s="537"/>
      <c r="J65" s="537"/>
      <c r="M65" s="33"/>
      <c r="N65" s="430"/>
    </row>
    <row r="66" spans="1:14">
      <c r="B66" s="429"/>
      <c r="C66" s="151"/>
      <c r="D66" s="151"/>
      <c r="E66" s="151"/>
      <c r="F66" s="151"/>
      <c r="G66" s="151"/>
      <c r="H66" s="151"/>
      <c r="M66" s="33"/>
      <c r="N66" s="430"/>
    </row>
    <row r="67" spans="1:14">
      <c r="B67" s="429">
        <v>2</v>
      </c>
      <c r="C67" t="s">
        <v>262</v>
      </c>
      <c r="M67" s="33" t="s">
        <v>0</v>
      </c>
      <c r="N67" s="26"/>
    </row>
    <row r="68" spans="1:14" ht="138.75" customHeight="1">
      <c r="B68" s="429"/>
      <c r="C68" s="537" t="s">
        <v>393</v>
      </c>
      <c r="D68" s="537"/>
      <c r="E68" s="537"/>
      <c r="F68" s="537"/>
      <c r="G68" s="537"/>
      <c r="H68" s="537"/>
      <c r="I68" s="537"/>
      <c r="J68" s="537"/>
      <c r="M68" s="33"/>
      <c r="N68" s="430"/>
    </row>
    <row r="69" spans="1:14" ht="165" customHeight="1">
      <c r="B69" s="429"/>
      <c r="C69" s="537" t="s">
        <v>263</v>
      </c>
      <c r="D69" s="537"/>
      <c r="E69" s="537"/>
      <c r="F69" s="537"/>
      <c r="G69" s="537"/>
      <c r="H69" s="537"/>
      <c r="I69" s="537"/>
      <c r="J69" s="537"/>
      <c r="K69" s="124"/>
      <c r="L69" s="124"/>
      <c r="M69" s="33"/>
      <c r="N69" s="430"/>
    </row>
    <row r="70" spans="1:14">
      <c r="B70" s="429"/>
      <c r="C70" s="151"/>
      <c r="D70" s="151"/>
      <c r="E70" s="151"/>
      <c r="F70" s="151"/>
      <c r="G70" s="151"/>
      <c r="H70" s="151"/>
      <c r="M70" s="33"/>
      <c r="N70" s="430"/>
    </row>
    <row r="71" spans="1:14">
      <c r="B71" s="429">
        <v>3</v>
      </c>
      <c r="C71" t="s">
        <v>499</v>
      </c>
      <c r="M71" s="33" t="s">
        <v>0</v>
      </c>
      <c r="N71" s="26">
        <v>10600</v>
      </c>
    </row>
    <row r="72" spans="1:14" ht="98.25" customHeight="1">
      <c r="B72" s="429"/>
      <c r="C72" s="537" t="s">
        <v>498</v>
      </c>
      <c r="D72" s="537"/>
      <c r="E72" s="537"/>
      <c r="F72" s="537"/>
      <c r="G72" s="537"/>
      <c r="H72" s="537"/>
      <c r="I72" s="537"/>
      <c r="J72" s="537"/>
      <c r="M72" s="33"/>
      <c r="N72" s="430"/>
    </row>
    <row r="73" spans="1:14">
      <c r="B73" s="429"/>
      <c r="C73" s="151"/>
      <c r="D73" s="151"/>
      <c r="E73" s="151"/>
      <c r="F73" s="151"/>
      <c r="M73" s="33"/>
      <c r="N73" s="430"/>
    </row>
    <row r="74" spans="1:14" ht="14.25" customHeight="1">
      <c r="B74" s="247">
        <v>4</v>
      </c>
      <c r="C74" t="s">
        <v>500</v>
      </c>
      <c r="M74" s="33" t="s">
        <v>0</v>
      </c>
      <c r="N74" s="26"/>
    </row>
    <row r="75" spans="1:14" ht="53.25" customHeight="1">
      <c r="C75" s="537" t="s">
        <v>501</v>
      </c>
      <c r="D75" s="537"/>
      <c r="E75" s="537"/>
      <c r="F75" s="537"/>
      <c r="G75" s="537"/>
      <c r="H75" s="537"/>
      <c r="I75" s="537"/>
      <c r="J75" s="537"/>
    </row>
    <row r="76" spans="1:14">
      <c r="C76" s="132"/>
      <c r="D76" s="132"/>
      <c r="E76" s="132"/>
      <c r="F76" s="132"/>
      <c r="G76" s="132"/>
      <c r="H76" s="132"/>
      <c r="I76" s="132"/>
      <c r="J76" s="132"/>
    </row>
    <row r="77" spans="1:14" s="222" customFormat="1">
      <c r="B77" s="247">
        <v>5</v>
      </c>
      <c r="C77" t="s">
        <v>453</v>
      </c>
      <c r="M77" s="33" t="s">
        <v>0</v>
      </c>
      <c r="N77" s="26"/>
    </row>
    <row r="78" spans="1:14" s="222" customFormat="1" ht="85.5" customHeight="1">
      <c r="C78" s="537" t="s">
        <v>377</v>
      </c>
      <c r="D78" s="537"/>
      <c r="E78" s="537"/>
      <c r="F78" s="537"/>
      <c r="G78" s="537"/>
      <c r="H78" s="537"/>
      <c r="I78" s="537"/>
      <c r="J78" s="537"/>
    </row>
    <row r="79" spans="1:14" ht="13.5" customHeight="1"/>
    <row r="80" spans="1:14" ht="31.5" customHeight="1">
      <c r="A80" s="565" t="s">
        <v>502</v>
      </c>
      <c r="B80" s="565"/>
      <c r="C80" s="565"/>
      <c r="D80" s="565"/>
      <c r="E80" s="565"/>
      <c r="F80" s="565"/>
      <c r="G80" s="565"/>
      <c r="H80" s="565"/>
      <c r="I80" s="565"/>
      <c r="J80" s="565"/>
      <c r="K80" s="565"/>
      <c r="L80" s="565"/>
      <c r="M80" s="565"/>
      <c r="N80" s="565"/>
    </row>
    <row r="82" spans="2:14">
      <c r="B82" s="429">
        <v>1</v>
      </c>
      <c r="C82" t="s">
        <v>265</v>
      </c>
      <c r="M82" s="33"/>
      <c r="N82" s="32">
        <v>1.6899999999999999E-4</v>
      </c>
    </row>
    <row r="83" spans="2:14" ht="57" customHeight="1">
      <c r="C83" s="537" t="s">
        <v>456</v>
      </c>
      <c r="D83" s="537"/>
      <c r="E83" s="537"/>
      <c r="F83" s="537"/>
      <c r="G83" s="537"/>
      <c r="H83" s="537"/>
      <c r="I83" s="537"/>
      <c r="J83" s="537"/>
    </row>
    <row r="84" spans="2:14">
      <c r="C84" s="158"/>
      <c r="D84" s="158"/>
      <c r="E84" s="158"/>
      <c r="F84" s="158"/>
      <c r="G84" s="158"/>
      <c r="H84" s="158"/>
      <c r="I84" s="158"/>
      <c r="J84" s="158"/>
    </row>
    <row r="85" spans="2:14" ht="59.25" customHeight="1"/>
  </sheetData>
  <sheetProtection sheet="1" formatColumns="0" formatRows="0"/>
  <mergeCells count="72">
    <mergeCell ref="A80:N80"/>
    <mergeCell ref="M8:N8"/>
    <mergeCell ref="M9:N9"/>
    <mergeCell ref="L19:M19"/>
    <mergeCell ref="B18:E18"/>
    <mergeCell ref="B20:E20"/>
    <mergeCell ref="D8:I8"/>
    <mergeCell ref="D9:I9"/>
    <mergeCell ref="D10:I10"/>
    <mergeCell ref="K16:M16"/>
    <mergeCell ref="D11:I11"/>
    <mergeCell ref="I20:J20"/>
    <mergeCell ref="K37:L37"/>
    <mergeCell ref="H16:J16"/>
    <mergeCell ref="H25:J25"/>
    <mergeCell ref="L29:M29"/>
    <mergeCell ref="K25:M25"/>
    <mergeCell ref="F16:G16"/>
    <mergeCell ref="B16:E16"/>
    <mergeCell ref="K49:L49"/>
    <mergeCell ref="K38:L38"/>
    <mergeCell ref="L26:M26"/>
    <mergeCell ref="K46:L46"/>
    <mergeCell ref="K43:L43"/>
    <mergeCell ref="B17:E17"/>
    <mergeCell ref="B19:E19"/>
    <mergeCell ref="I19:J19"/>
    <mergeCell ref="F17:G17"/>
    <mergeCell ref="F25:G25"/>
    <mergeCell ref="Q4:AC4"/>
    <mergeCell ref="L20:M20"/>
    <mergeCell ref="J8:L8"/>
    <mergeCell ref="J9:L9"/>
    <mergeCell ref="J10:L10"/>
    <mergeCell ref="L17:M17"/>
    <mergeCell ref="M10:N10"/>
    <mergeCell ref="L18:M18"/>
    <mergeCell ref="M7:N7"/>
    <mergeCell ref="I17:J17"/>
    <mergeCell ref="I18:J18"/>
    <mergeCell ref="K51:L51"/>
    <mergeCell ref="C83:J83"/>
    <mergeCell ref="B6:N6"/>
    <mergeCell ref="B23:N23"/>
    <mergeCell ref="B14:N14"/>
    <mergeCell ref="B35:N35"/>
    <mergeCell ref="C65:J65"/>
    <mergeCell ref="K47:L47"/>
    <mergeCell ref="K42:L42"/>
    <mergeCell ref="K41:L41"/>
    <mergeCell ref="I29:J29"/>
    <mergeCell ref="C68:J68"/>
    <mergeCell ref="K44:L44"/>
    <mergeCell ref="C57:N58"/>
    <mergeCell ref="L27:M27"/>
    <mergeCell ref="L28:M28"/>
    <mergeCell ref="K53:L53"/>
    <mergeCell ref="D64:L64"/>
    <mergeCell ref="K50:L50"/>
    <mergeCell ref="C78:J78"/>
    <mergeCell ref="I26:J26"/>
    <mergeCell ref="K48:L48"/>
    <mergeCell ref="C75:J75"/>
    <mergeCell ref="K39:L39"/>
    <mergeCell ref="K52:L52"/>
    <mergeCell ref="K54:L54"/>
    <mergeCell ref="I27:J27"/>
    <mergeCell ref="I28:J28"/>
    <mergeCell ref="K40:L40"/>
    <mergeCell ref="C72:J72"/>
    <mergeCell ref="K45:L45"/>
    <mergeCell ref="C69:J69"/>
  </mergeCells>
  <dataValidations count="3">
    <dataValidation type="list" allowBlank="1" showInputMessage="1" showErrorMessage="1" sqref="C64" xr:uid="{00000000-0002-0000-0700-000000000000}">
      <formula1>"X"</formula1>
    </dataValidation>
    <dataValidation type="list" allowBlank="1" showInputMessage="1" showErrorMessage="1" sqref="B8:B11" xr:uid="{00000000-0002-0000-0700-000001000000}">
      <formula1>$Q$8:$Q$10</formula1>
    </dataValidation>
    <dataValidation type="custom" allowBlank="1" showInputMessage="1" showErrorMessage="1" errorTitle="Amount should be negative" error="Amount must be negative. Please use parentheses or minus sign to enter the reduction." prompt="Leave blank for budget adoption. Enter amount in parentheses." sqref="N77" xr:uid="{00000000-0002-0000-0700-000002000000}">
      <formula1>N77&lt;=0</formula1>
    </dataValidation>
  </dataValidations>
  <pageMargins left="0.7" right="0.7" top="0.75" bottom="0.75" header="0.3" footer="0.3"/>
  <pageSetup paperSize="5" scale="10" fitToWidth="0" orientation="portrait" r:id="rId1"/>
  <headerFooter>
    <oddFooter>&amp;L&amp;"Arial,Bold"Rev. 5/23 Arizona Department of Education and Auditor General&amp;R&amp;"Arial,Bold"Data Entry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98"/>
  <sheetViews>
    <sheetView showGridLines="0" zoomScaleNormal="100" zoomScaleSheetLayoutView="100" workbookViewId="0">
      <selection activeCell="L9" sqref="L9"/>
    </sheetView>
  </sheetViews>
  <sheetFormatPr defaultColWidth="11" defaultRowHeight="12"/>
  <cols>
    <col min="1" max="1" width="3.42578125" style="39" customWidth="1"/>
    <col min="2" max="2" width="2.42578125" style="39" customWidth="1"/>
    <col min="3" max="3" width="4" style="39" customWidth="1"/>
    <col min="4" max="4" width="4.140625" style="39" customWidth="1"/>
    <col min="5" max="5" width="7.5703125" style="39" customWidth="1"/>
    <col min="6" max="7" width="11" style="39" customWidth="1"/>
    <col min="8" max="9" width="11.5703125" style="39" customWidth="1"/>
    <col min="10" max="10" width="12.5703125" style="39" customWidth="1"/>
    <col min="11" max="11" width="2.5703125" style="39" customWidth="1"/>
    <col min="12" max="12" width="14" style="39" customWidth="1"/>
    <col min="13" max="13" width="1.5703125" style="39" customWidth="1"/>
    <col min="14" max="14" width="14.85546875" style="39" customWidth="1"/>
    <col min="15" max="15" width="11" style="39" customWidth="1"/>
    <col min="16" max="16" width="7.5703125" style="39" customWidth="1"/>
    <col min="17" max="18" width="11" style="39" customWidth="1"/>
    <col min="19" max="19" width="7.140625" style="39" customWidth="1"/>
    <col min="20" max="22" width="11" style="39" customWidth="1"/>
    <col min="23" max="23" width="7.140625" style="39" customWidth="1"/>
    <col min="24" max="26" width="11" style="39" customWidth="1"/>
    <col min="27" max="27" width="7.140625" style="39" customWidth="1"/>
    <col min="28" max="29" width="11" style="39" customWidth="1"/>
    <col min="30" max="16384" width="11" style="39"/>
  </cols>
  <sheetData>
    <row r="1" spans="1:15" ht="15.75" customHeight="1">
      <c r="A1" s="580" t="s">
        <v>181</v>
      </c>
      <c r="B1" s="580"/>
      <c r="C1" s="580"/>
      <c r="D1" s="580"/>
      <c r="E1" s="493" t="str">
        <f>CharterName</f>
        <v>Legacy Education Group, Inc.</v>
      </c>
      <c r="F1" s="493"/>
      <c r="G1" s="493"/>
      <c r="H1" s="33" t="s">
        <v>128</v>
      </c>
      <c r="I1" s="35" t="str">
        <f>Cover!M1</f>
        <v>Maricopa</v>
      </c>
      <c r="J1" s="580" t="s">
        <v>220</v>
      </c>
      <c r="K1" s="580"/>
      <c r="L1" s="494" t="str">
        <f>CTD</f>
        <v>078507000</v>
      </c>
      <c r="M1" s="494"/>
      <c r="N1" s="37"/>
      <c r="O1" s="38"/>
    </row>
    <row r="2" spans="1:15" ht="15.75" customHeight="1">
      <c r="A2" s="37"/>
      <c r="B2" s="37"/>
      <c r="C2" s="37"/>
      <c r="D2" s="37"/>
      <c r="E2" s="40"/>
      <c r="F2" s="40"/>
      <c r="G2" s="40"/>
      <c r="H2" s="37"/>
      <c r="I2" s="40"/>
      <c r="J2" s="37"/>
      <c r="K2" s="37"/>
      <c r="L2" s="38"/>
      <c r="M2" s="38"/>
      <c r="N2" s="37"/>
      <c r="O2" s="38"/>
    </row>
    <row r="3" spans="1:15" ht="15.75" customHeight="1">
      <c r="A3" s="37"/>
      <c r="B3" s="37"/>
      <c r="C3" s="37"/>
      <c r="D3" s="37"/>
      <c r="E3" s="40"/>
      <c r="F3" s="40"/>
      <c r="G3" s="40"/>
      <c r="H3" s="37"/>
      <c r="I3" s="40"/>
      <c r="J3" s="37"/>
      <c r="K3" s="37"/>
      <c r="L3" s="38"/>
      <c r="M3" s="38"/>
      <c r="N3" s="37"/>
      <c r="O3" s="38"/>
    </row>
    <row r="4" spans="1:15" ht="15.75" customHeight="1">
      <c r="A4" s="37"/>
      <c r="B4" s="37"/>
      <c r="C4" s="37"/>
      <c r="D4" s="37"/>
      <c r="E4" s="40"/>
      <c r="F4" s="40"/>
      <c r="G4" s="40"/>
      <c r="H4" s="37"/>
      <c r="I4" s="40"/>
      <c r="J4" s="37"/>
      <c r="K4" s="37"/>
      <c r="L4" s="38"/>
      <c r="M4" s="38"/>
      <c r="N4" s="37"/>
      <c r="O4" s="38"/>
    </row>
    <row r="5" spans="1:15" ht="15.75" customHeight="1">
      <c r="A5" s="41" t="s">
        <v>266</v>
      </c>
      <c r="B5" s="37"/>
      <c r="C5" s="42"/>
      <c r="D5" s="42"/>
      <c r="E5" s="42"/>
      <c r="F5" s="42"/>
      <c r="G5" s="42"/>
      <c r="H5" s="42"/>
      <c r="I5" s="40"/>
      <c r="J5" s="37"/>
      <c r="K5" s="37"/>
      <c r="L5" s="38"/>
      <c r="M5" s="38"/>
      <c r="N5" s="37"/>
      <c r="O5" s="38"/>
    </row>
    <row r="6" spans="1:15" ht="15.75" customHeight="1">
      <c r="A6" s="41"/>
      <c r="B6" s="37"/>
      <c r="C6" s="43" t="s">
        <v>267</v>
      </c>
      <c r="D6" s="44"/>
      <c r="E6" s="44"/>
      <c r="F6" s="44"/>
      <c r="G6" s="44"/>
      <c r="H6" s="44"/>
      <c r="I6" s="45"/>
      <c r="J6" s="46"/>
      <c r="K6" s="46"/>
      <c r="L6" s="47"/>
      <c r="M6" s="47"/>
      <c r="N6" s="46"/>
      <c r="O6" s="38"/>
    </row>
    <row r="7" spans="1:15" ht="15.75" customHeight="1" thickBot="1">
      <c r="A7" s="37"/>
      <c r="B7" s="37"/>
      <c r="C7" s="48" t="s">
        <v>194</v>
      </c>
      <c r="D7" s="48"/>
      <c r="E7" s="49"/>
      <c r="F7" s="49"/>
      <c r="G7" s="49"/>
      <c r="H7" s="49"/>
      <c r="I7" s="50"/>
      <c r="J7" s="51"/>
      <c r="K7" s="52"/>
      <c r="L7" s="53" t="s">
        <v>130</v>
      </c>
      <c r="M7" s="54"/>
      <c r="N7" s="55" t="s">
        <v>131</v>
      </c>
      <c r="O7" s="38"/>
    </row>
    <row r="8" spans="1:15" ht="15.75" customHeight="1" thickTop="1">
      <c r="A8" s="37"/>
      <c r="B8" s="37"/>
      <c r="C8" s="56" t="s">
        <v>268</v>
      </c>
      <c r="D8"/>
      <c r="E8"/>
      <c r="F8" s="57"/>
      <c r="G8" s="57"/>
      <c r="H8" s="57"/>
      <c r="I8" s="40"/>
      <c r="J8" s="37"/>
      <c r="K8" s="58"/>
      <c r="L8"/>
      <c r="M8" s="56"/>
      <c r="N8" s="59"/>
      <c r="O8" s="38"/>
    </row>
    <row r="9" spans="1:15" ht="15.75" customHeight="1" thickBot="1">
      <c r="A9" s="37"/>
      <c r="B9" s="37"/>
      <c r="C9" s="60"/>
      <c r="D9" s="61" t="s">
        <v>243</v>
      </c>
      <c r="E9" s="61"/>
      <c r="F9" s="61"/>
      <c r="G9" s="61"/>
      <c r="H9" s="61"/>
      <c r="I9" s="62"/>
      <c r="J9" s="63"/>
      <c r="K9" s="64"/>
      <c r="L9" s="65">
        <v>1.399</v>
      </c>
      <c r="M9" s="66"/>
      <c r="N9" s="67">
        <v>1.5589999999999999</v>
      </c>
      <c r="O9" s="38"/>
    </row>
    <row r="10" spans="1:15" ht="15.75" customHeight="1" thickTop="1">
      <c r="A10" s="37"/>
      <c r="B10" s="37"/>
      <c r="C10" s="68" t="s">
        <v>269</v>
      </c>
      <c r="D10"/>
      <c r="E10"/>
      <c r="F10" s="69"/>
      <c r="G10" s="69"/>
      <c r="H10" s="69"/>
      <c r="I10" s="40"/>
      <c r="J10" s="37"/>
      <c r="K10" s="70"/>
      <c r="L10" s="71"/>
      <c r="M10" s="56"/>
      <c r="N10" s="72"/>
      <c r="O10" s="38"/>
    </row>
    <row r="11" spans="1:15" ht="15.75" customHeight="1">
      <c r="A11" s="37"/>
      <c r="B11" s="37"/>
      <c r="C11" s="56"/>
      <c r="D11" t="s">
        <v>270</v>
      </c>
      <c r="E11"/>
      <c r="F11"/>
      <c r="G11"/>
      <c r="H11"/>
      <c r="I11" s="40"/>
      <c r="J11" s="37"/>
      <c r="K11" s="73"/>
      <c r="L11" s="74">
        <v>500</v>
      </c>
      <c r="M11" s="75"/>
      <c r="N11" s="76">
        <v>500</v>
      </c>
      <c r="O11" s="38"/>
    </row>
    <row r="12" spans="1:15" ht="15.75" customHeight="1">
      <c r="A12" s="37"/>
      <c r="B12" s="37"/>
      <c r="C12" s="56"/>
      <c r="D12" t="s">
        <v>242</v>
      </c>
      <c r="E12"/>
      <c r="F12"/>
      <c r="G12"/>
      <c r="H12"/>
      <c r="I12" s="40"/>
      <c r="J12" s="37"/>
      <c r="K12" s="73" t="s">
        <v>132</v>
      </c>
      <c r="L12" s="77">
        <f>IF('Data Entry'!I20&gt;99.999,IF('Data Entry'!I20&lt;500,'Data Entry'!I20,0),0)</f>
        <v>0</v>
      </c>
      <c r="M12" s="73" t="s">
        <v>132</v>
      </c>
      <c r="N12" s="78">
        <f>IF('Data Entry'!L20&gt;99.999,IF('Data Entry'!L20&lt;500,'Data Entry'!L20,0),0)</f>
        <v>150</v>
      </c>
      <c r="O12" s="38"/>
    </row>
    <row r="13" spans="1:15" ht="15.75" customHeight="1">
      <c r="A13" s="37"/>
      <c r="B13" s="37"/>
      <c r="C13" s="56"/>
      <c r="D13" t="s">
        <v>133</v>
      </c>
      <c r="E13"/>
      <c r="F13"/>
      <c r="G13"/>
      <c r="H13"/>
      <c r="I13" s="40"/>
      <c r="J13" s="37"/>
      <c r="K13" s="79" t="s">
        <v>134</v>
      </c>
      <c r="L13" s="77">
        <f>IF(L12&gt;0,ROUND(+L11-L12,4),0)</f>
        <v>0</v>
      </c>
      <c r="M13" s="80" t="s">
        <v>134</v>
      </c>
      <c r="N13" s="78">
        <f>IF(N12&gt;0,ROUND(+N11-N12,4),0)</f>
        <v>350</v>
      </c>
      <c r="O13" s="38"/>
    </row>
    <row r="14" spans="1:15" ht="15.75" customHeight="1">
      <c r="A14" s="37"/>
      <c r="B14" s="37"/>
      <c r="C14" s="56"/>
      <c r="D14" t="s">
        <v>271</v>
      </c>
      <c r="E14"/>
      <c r="F14"/>
      <c r="G14"/>
      <c r="H14"/>
      <c r="I14" s="40"/>
      <c r="J14" s="37"/>
      <c r="K14" s="79" t="s">
        <v>135</v>
      </c>
      <c r="L14" s="77">
        <v>2.9999999999999997E-4</v>
      </c>
      <c r="M14" s="79" t="s">
        <v>135</v>
      </c>
      <c r="N14" s="78">
        <v>4.0000000000000002E-4</v>
      </c>
      <c r="O14" s="38"/>
    </row>
    <row r="15" spans="1:15" ht="15.75" customHeight="1">
      <c r="A15" s="37"/>
      <c r="B15" s="37"/>
      <c r="C15" s="56"/>
      <c r="D15" t="s">
        <v>272</v>
      </c>
      <c r="E15"/>
      <c r="F15"/>
      <c r="G15"/>
      <c r="H15"/>
      <c r="I15" s="40"/>
      <c r="J15" s="37"/>
      <c r="K15" s="79" t="s">
        <v>134</v>
      </c>
      <c r="L15" s="77">
        <f>IF(L12&gt;0,ROUND(L13*L14,4),0)</f>
        <v>0</v>
      </c>
      <c r="M15" s="73" t="s">
        <v>134</v>
      </c>
      <c r="N15" s="78">
        <f>IF(N12&gt;0,ROUND(N13*N14,4),0)</f>
        <v>0.14000000000000001</v>
      </c>
      <c r="O15" s="38"/>
    </row>
    <row r="16" spans="1:15" ht="15.75" customHeight="1">
      <c r="A16" s="37"/>
      <c r="B16" s="37"/>
      <c r="C16" s="56"/>
      <c r="D16" t="s">
        <v>273</v>
      </c>
      <c r="E16"/>
      <c r="F16"/>
      <c r="G16"/>
      <c r="H16"/>
      <c r="I16" s="40"/>
      <c r="J16" s="37"/>
      <c r="K16" s="79" t="s">
        <v>136</v>
      </c>
      <c r="L16" s="77">
        <v>1.278</v>
      </c>
      <c r="M16" s="79" t="s">
        <v>136</v>
      </c>
      <c r="N16" s="78">
        <v>1.3979999999999999</v>
      </c>
      <c r="O16" s="38"/>
    </row>
    <row r="17" spans="1:15" ht="15.75" customHeight="1" thickBot="1">
      <c r="A17" s="37"/>
      <c r="B17" s="37"/>
      <c r="C17" s="60"/>
      <c r="D17" s="61" t="s">
        <v>274</v>
      </c>
      <c r="E17" s="61"/>
      <c r="F17" s="61"/>
      <c r="G17" s="61"/>
      <c r="H17" s="61"/>
      <c r="I17" s="62"/>
      <c r="J17" s="63"/>
      <c r="K17" s="81" t="s">
        <v>134</v>
      </c>
      <c r="L17" s="82">
        <f>IF(L12&gt;0,ROUND(+L15+L16,4),0)</f>
        <v>0</v>
      </c>
      <c r="M17" s="66" t="s">
        <v>134</v>
      </c>
      <c r="N17" s="83">
        <f>IF(N12&gt;0,ROUND(+N15+N16,4),0)</f>
        <v>1.538</v>
      </c>
      <c r="O17" s="38"/>
    </row>
    <row r="18" spans="1:15" ht="15.75" customHeight="1" thickTop="1">
      <c r="A18" s="37"/>
      <c r="B18" s="37"/>
      <c r="C18" s="68" t="s">
        <v>275</v>
      </c>
      <c r="D18"/>
      <c r="E18"/>
      <c r="F18" s="69"/>
      <c r="G18" s="69"/>
      <c r="H18" s="69"/>
      <c r="I18" s="40"/>
      <c r="J18" s="37"/>
      <c r="K18" s="70"/>
      <c r="L18" s="84"/>
      <c r="M18" s="56"/>
      <c r="N18" s="72"/>
      <c r="O18" s="38"/>
    </row>
    <row r="19" spans="1:15" ht="15.75" customHeight="1">
      <c r="A19" s="37"/>
      <c r="B19" s="37"/>
      <c r="C19" s="56"/>
      <c r="D19" t="s">
        <v>270</v>
      </c>
      <c r="E19"/>
      <c r="F19"/>
      <c r="G19"/>
      <c r="H19"/>
      <c r="I19" s="40"/>
      <c r="J19" s="37"/>
      <c r="K19" s="56"/>
      <c r="L19" s="85">
        <v>600</v>
      </c>
      <c r="M19" s="75"/>
      <c r="N19" s="78">
        <v>600</v>
      </c>
      <c r="O19" s="38"/>
    </row>
    <row r="20" spans="1:15" ht="15.75" customHeight="1">
      <c r="A20" s="37"/>
      <c r="B20" s="37"/>
      <c r="C20" s="56"/>
      <c r="D20" t="s">
        <v>242</v>
      </c>
      <c r="E20"/>
      <c r="F20"/>
      <c r="G20"/>
      <c r="H20"/>
      <c r="I20" s="40"/>
      <c r="J20" s="37"/>
      <c r="K20" s="86" t="s">
        <v>132</v>
      </c>
      <c r="L20" s="77">
        <f>IF('Data Entry'!I20&gt;499.999,IF('Data Entry'!I20&lt;600,'Data Entry'!I20,0),0)</f>
        <v>0</v>
      </c>
      <c r="M20" s="73" t="s">
        <v>132</v>
      </c>
      <c r="N20" s="78">
        <f>IF('Data Entry'!L20&gt;499.999,IF('Data Entry'!L20&lt;600,'Data Entry'!L20,0),0)</f>
        <v>0</v>
      </c>
      <c r="O20" s="38"/>
    </row>
    <row r="21" spans="1:15" ht="15.75" customHeight="1">
      <c r="A21" s="37"/>
      <c r="B21" s="37"/>
      <c r="C21" s="56"/>
      <c r="D21" t="s">
        <v>133</v>
      </c>
      <c r="E21"/>
      <c r="F21"/>
      <c r="G21"/>
      <c r="H21"/>
      <c r="I21" s="40"/>
      <c r="J21" s="37"/>
      <c r="K21" s="87" t="s">
        <v>134</v>
      </c>
      <c r="L21" s="77">
        <f>IF(L20&gt;0,ROUND(+L19-L20,4),0)</f>
        <v>0</v>
      </c>
      <c r="M21" s="80" t="s">
        <v>134</v>
      </c>
      <c r="N21" s="78">
        <f>IF(N20&gt;0,ROUND(+N19-N20,4),0)</f>
        <v>0</v>
      </c>
      <c r="O21" s="38"/>
    </row>
    <row r="22" spans="1:15" ht="15.75" customHeight="1">
      <c r="A22" s="37"/>
      <c r="B22" s="37"/>
      <c r="C22" s="56"/>
      <c r="D22" t="s">
        <v>271</v>
      </c>
      <c r="E22"/>
      <c r="F22"/>
      <c r="G22"/>
      <c r="H22"/>
      <c r="I22" s="40"/>
      <c r="J22" s="37"/>
      <c r="K22" s="86" t="s">
        <v>135</v>
      </c>
      <c r="L22" s="77">
        <v>1.1999999999999999E-3</v>
      </c>
      <c r="M22" s="79" t="s">
        <v>135</v>
      </c>
      <c r="N22" s="78">
        <v>1.2999999999999999E-3</v>
      </c>
      <c r="O22" s="38"/>
    </row>
    <row r="23" spans="1:15" ht="15.75" customHeight="1">
      <c r="A23" s="37"/>
      <c r="B23" s="37"/>
      <c r="C23" s="56"/>
      <c r="D23" t="s">
        <v>272</v>
      </c>
      <c r="E23"/>
      <c r="F23"/>
      <c r="G23"/>
      <c r="H23"/>
      <c r="I23" s="40"/>
      <c r="J23" s="37"/>
      <c r="K23" s="87" t="s">
        <v>134</v>
      </c>
      <c r="L23" s="77">
        <f>IF(L20&gt;0,ROUND(L21*L22,4),0)</f>
        <v>0</v>
      </c>
      <c r="M23" s="73" t="s">
        <v>134</v>
      </c>
      <c r="N23" s="78">
        <f>IF(N20&gt;0,ROUND(N21*N22,4),0)</f>
        <v>0</v>
      </c>
      <c r="O23" s="38"/>
    </row>
    <row r="24" spans="1:15" ht="15.75" customHeight="1">
      <c r="A24" s="37"/>
      <c r="B24" s="37"/>
      <c r="C24" s="56"/>
      <c r="D24" t="s">
        <v>273</v>
      </c>
      <c r="E24"/>
      <c r="F24"/>
      <c r="G24"/>
      <c r="H24"/>
      <c r="I24" s="40"/>
      <c r="J24" s="37"/>
      <c r="K24" s="86" t="s">
        <v>136</v>
      </c>
      <c r="L24" s="77">
        <v>1.1579999999999999</v>
      </c>
      <c r="M24" s="73" t="s">
        <v>136</v>
      </c>
      <c r="N24" s="78">
        <v>1.268</v>
      </c>
      <c r="O24" s="38"/>
    </row>
    <row r="25" spans="1:15" ht="15.75" customHeight="1" thickBot="1">
      <c r="A25" s="37"/>
      <c r="B25" s="37"/>
      <c r="C25" s="60"/>
      <c r="D25" s="61" t="s">
        <v>274</v>
      </c>
      <c r="E25" s="61"/>
      <c r="F25" s="61"/>
      <c r="G25" s="61"/>
      <c r="H25" s="61"/>
      <c r="I25" s="62"/>
      <c r="J25" s="63"/>
      <c r="K25" s="88" t="s">
        <v>134</v>
      </c>
      <c r="L25" s="82">
        <f>IF(L20&gt;0,ROUND(+L23+L24,4),0)</f>
        <v>0</v>
      </c>
      <c r="M25" s="81" t="s">
        <v>134</v>
      </c>
      <c r="N25" s="67">
        <f>IF(N20&gt;0,ROUND(+N23+N24,4),0)</f>
        <v>0</v>
      </c>
      <c r="O25" s="38"/>
    </row>
    <row r="26" spans="1:15" ht="15.75" customHeight="1" thickTop="1">
      <c r="A26" s="37"/>
      <c r="B26" s="37"/>
      <c r="C26" s="68" t="s">
        <v>276</v>
      </c>
      <c r="D26"/>
      <c r="E26"/>
      <c r="F26" s="89"/>
      <c r="G26" s="89"/>
      <c r="H26" s="69"/>
      <c r="I26" s="40"/>
      <c r="J26" s="37"/>
      <c r="K26" s="70"/>
      <c r="L26" s="90"/>
      <c r="M26" s="68"/>
      <c r="N26" s="72"/>
      <c r="O26" s="38"/>
    </row>
    <row r="27" spans="1:15" ht="15.75" customHeight="1" thickBot="1">
      <c r="A27" s="37"/>
      <c r="B27" s="37"/>
      <c r="C27" s="91"/>
      <c r="D27" s="61" t="s">
        <v>274</v>
      </c>
      <c r="E27" s="61"/>
      <c r="F27" s="61"/>
      <c r="G27" s="61"/>
      <c r="H27" s="61"/>
      <c r="I27" s="62"/>
      <c r="J27" s="63"/>
      <c r="K27" s="66"/>
      <c r="L27" s="65">
        <v>1.1579999999999999</v>
      </c>
      <c r="M27" s="66"/>
      <c r="N27" s="67">
        <v>1.268</v>
      </c>
      <c r="O27" s="38"/>
    </row>
    <row r="28" spans="1:15" ht="15.75" customHeight="1" thickTop="1">
      <c r="A28" s="37"/>
      <c r="B28" s="37"/>
      <c r="C28" s="92"/>
      <c r="D28"/>
      <c r="E28"/>
      <c r="F28"/>
      <c r="G28"/>
      <c r="H28"/>
      <c r="I28" s="40"/>
      <c r="J28" s="37"/>
      <c r="K28"/>
      <c r="L28"/>
      <c r="M28"/>
      <c r="N28"/>
      <c r="O28" s="38"/>
    </row>
    <row r="29" spans="1:15" ht="15.75" customHeight="1">
      <c r="A29" s="37"/>
      <c r="B29" s="37"/>
      <c r="C29" s="92"/>
      <c r="D29"/>
      <c r="E29"/>
      <c r="F29"/>
      <c r="G29"/>
      <c r="H29"/>
      <c r="I29" s="40"/>
      <c r="J29" s="37"/>
      <c r="K29"/>
      <c r="L29"/>
      <c r="M29"/>
      <c r="N29"/>
      <c r="O29" s="38"/>
    </row>
    <row r="30" spans="1:15" ht="15.75" customHeight="1">
      <c r="A30" s="37"/>
      <c r="B30" s="37"/>
      <c r="C30" s="92"/>
      <c r="D30"/>
      <c r="E30"/>
      <c r="F30"/>
      <c r="G30"/>
      <c r="H30"/>
      <c r="I30" s="40"/>
      <c r="J30" s="37"/>
      <c r="K30"/>
      <c r="L30"/>
      <c r="M30"/>
      <c r="N30"/>
      <c r="O30" s="38"/>
    </row>
    <row r="31" spans="1:15" ht="15.75" customHeight="1">
      <c r="A31" s="37"/>
      <c r="B31" s="37"/>
      <c r="C31" s="43" t="s">
        <v>349</v>
      </c>
      <c r="D31" s="43"/>
      <c r="E31" s="43"/>
      <c r="F31" s="43"/>
      <c r="G31" s="43"/>
      <c r="H31" s="43"/>
      <c r="I31" s="93"/>
      <c r="J31" s="94"/>
      <c r="K31" s="43"/>
      <c r="L31" s="43"/>
      <c r="M31" s="43"/>
      <c r="N31" s="43"/>
      <c r="O31" s="95"/>
    </row>
    <row r="32" spans="1:15" ht="15.75" customHeight="1" thickBot="1">
      <c r="A32" s="37"/>
      <c r="B32" s="37"/>
      <c r="C32" s="48" t="s">
        <v>194</v>
      </c>
      <c r="D32" s="48"/>
      <c r="E32" s="49"/>
      <c r="F32" s="49"/>
      <c r="G32" s="49"/>
      <c r="H32" s="49"/>
      <c r="I32" s="50"/>
      <c r="J32" s="51"/>
      <c r="K32" s="52"/>
      <c r="L32" s="53" t="s">
        <v>130</v>
      </c>
      <c r="M32" s="96"/>
      <c r="N32" s="55" t="s">
        <v>131</v>
      </c>
      <c r="O32" s="38"/>
    </row>
    <row r="33" spans="1:15" ht="15.75" customHeight="1" thickTop="1">
      <c r="A33" s="37"/>
      <c r="B33" s="37"/>
      <c r="C33" s="56" t="s">
        <v>277</v>
      </c>
      <c r="D33"/>
      <c r="E33"/>
      <c r="F33" s="57"/>
      <c r="G33" s="57"/>
      <c r="H33" s="57"/>
      <c r="I33" s="40"/>
      <c r="J33" s="37"/>
      <c r="K33" s="56"/>
      <c r="L33"/>
      <c r="M33" s="56"/>
      <c r="N33" s="97"/>
      <c r="O33" s="38"/>
    </row>
    <row r="34" spans="1:15" ht="15.75" customHeight="1" thickBot="1">
      <c r="A34" s="37"/>
      <c r="B34" s="37"/>
      <c r="C34" s="60"/>
      <c r="D34" s="61" t="s">
        <v>243</v>
      </c>
      <c r="E34" s="61"/>
      <c r="F34" s="61"/>
      <c r="G34" s="61"/>
      <c r="H34" s="61"/>
      <c r="I34" s="62"/>
      <c r="J34" s="63"/>
      <c r="K34" s="66"/>
      <c r="L34" s="65">
        <v>1.399</v>
      </c>
      <c r="M34" s="66"/>
      <c r="N34" s="67">
        <v>1.5589999999999999</v>
      </c>
      <c r="O34" s="38"/>
    </row>
    <row r="35" spans="1:15" ht="15.75" customHeight="1" thickTop="1">
      <c r="A35" s="37"/>
      <c r="B35" s="37"/>
      <c r="C35" s="68" t="s">
        <v>269</v>
      </c>
      <c r="D35"/>
      <c r="E35"/>
      <c r="F35" s="69"/>
      <c r="G35" s="69"/>
      <c r="H35" s="69"/>
      <c r="I35" s="40"/>
      <c r="J35" s="37"/>
      <c r="K35" s="98"/>
      <c r="L35" s="71"/>
      <c r="M35" s="56"/>
      <c r="N35" s="72"/>
      <c r="O35" s="38"/>
    </row>
    <row r="36" spans="1:15" ht="15.75" customHeight="1">
      <c r="A36" s="37"/>
      <c r="B36" s="37"/>
      <c r="C36" s="56"/>
      <c r="D36" t="s">
        <v>270</v>
      </c>
      <c r="E36"/>
      <c r="F36"/>
      <c r="G36"/>
      <c r="H36"/>
      <c r="I36" s="40"/>
      <c r="J36" s="37"/>
      <c r="K36" s="99"/>
      <c r="L36" s="85">
        <v>500</v>
      </c>
      <c r="M36" s="73"/>
      <c r="N36" s="78">
        <v>500</v>
      </c>
      <c r="O36" s="38"/>
    </row>
    <row r="37" spans="1:15" ht="15.75" customHeight="1">
      <c r="A37" s="37"/>
      <c r="B37" s="37"/>
      <c r="C37" s="56"/>
      <c r="D37" t="s">
        <v>242</v>
      </c>
      <c r="E37"/>
      <c r="F37"/>
      <c r="G37"/>
      <c r="H37"/>
      <c r="I37" s="40"/>
      <c r="J37" s="37"/>
      <c r="K37" s="99" t="s">
        <v>132</v>
      </c>
      <c r="L37" s="77">
        <f>IF('Data Entry'!I29&gt;99.999,IF('Data Entry'!I29&lt;500,'Data Entry'!I29,0),0)</f>
        <v>0</v>
      </c>
      <c r="M37" s="99" t="s">
        <v>132</v>
      </c>
      <c r="N37" s="78">
        <f>IF('Data Entry'!L29&gt;99.999,IF('Data Entry'!L29&lt;500,'Data Entry'!L29,0),0)</f>
        <v>0</v>
      </c>
      <c r="O37" s="38"/>
    </row>
    <row r="38" spans="1:15" ht="15.75" customHeight="1">
      <c r="A38" s="37"/>
      <c r="B38" s="37"/>
      <c r="C38" s="56"/>
      <c r="D38" t="s">
        <v>133</v>
      </c>
      <c r="E38"/>
      <c r="F38"/>
      <c r="G38"/>
      <c r="H38"/>
      <c r="I38" s="40"/>
      <c r="J38" s="37"/>
      <c r="K38" s="99" t="s">
        <v>134</v>
      </c>
      <c r="L38" s="77">
        <f>IF(L37&gt;0,ROUND(+L36-L37,4),0)</f>
        <v>0</v>
      </c>
      <c r="M38" s="99" t="s">
        <v>134</v>
      </c>
      <c r="N38" s="78">
        <f>IF(N37&gt;0,ROUND(+N36-N37,4),0)</f>
        <v>0</v>
      </c>
      <c r="O38" s="38"/>
    </row>
    <row r="39" spans="1:15" ht="15.75" customHeight="1">
      <c r="A39" s="37"/>
      <c r="B39" s="37"/>
      <c r="C39" s="56"/>
      <c r="D39" t="s">
        <v>271</v>
      </c>
      <c r="E39"/>
      <c r="F39"/>
      <c r="G39"/>
      <c r="H39"/>
      <c r="I39" s="40"/>
      <c r="J39" s="37"/>
      <c r="K39" s="99" t="s">
        <v>135</v>
      </c>
      <c r="L39" s="77">
        <v>2.9999999999999997E-4</v>
      </c>
      <c r="M39" s="99" t="s">
        <v>135</v>
      </c>
      <c r="N39" s="78">
        <v>4.0000000000000002E-4</v>
      </c>
      <c r="O39" s="38"/>
    </row>
    <row r="40" spans="1:15" ht="15.75" customHeight="1">
      <c r="A40" s="37"/>
      <c r="B40" s="37"/>
      <c r="C40" s="56"/>
      <c r="D40" t="s">
        <v>272</v>
      </c>
      <c r="E40"/>
      <c r="F40"/>
      <c r="G40"/>
      <c r="H40"/>
      <c r="I40" s="40"/>
      <c r="J40" s="37"/>
      <c r="K40" s="99" t="s">
        <v>134</v>
      </c>
      <c r="L40" s="77">
        <f>IF(L37&gt;0,ROUND(L38*L39,4),0)</f>
        <v>0</v>
      </c>
      <c r="M40" s="99" t="s">
        <v>134</v>
      </c>
      <c r="N40" s="78">
        <f>IF(N37&gt;0,ROUND(N38*N39,4),0)</f>
        <v>0</v>
      </c>
      <c r="O40" s="38"/>
    </row>
    <row r="41" spans="1:15" ht="15.75" customHeight="1">
      <c r="A41" s="37"/>
      <c r="B41" s="37"/>
      <c r="C41" s="56"/>
      <c r="D41" t="s">
        <v>273</v>
      </c>
      <c r="E41"/>
      <c r="F41"/>
      <c r="G41"/>
      <c r="H41"/>
      <c r="I41" s="40"/>
      <c r="J41" s="37"/>
      <c r="K41" s="99" t="s">
        <v>136</v>
      </c>
      <c r="L41" s="77">
        <v>1.278</v>
      </c>
      <c r="M41" s="99" t="s">
        <v>136</v>
      </c>
      <c r="N41" s="78">
        <v>1.3979999999999999</v>
      </c>
      <c r="O41" s="38"/>
    </row>
    <row r="42" spans="1:15" ht="15.75" customHeight="1" thickBot="1">
      <c r="A42" s="37"/>
      <c r="B42" s="37"/>
      <c r="C42" s="60"/>
      <c r="D42" s="61" t="s">
        <v>274</v>
      </c>
      <c r="E42" s="61"/>
      <c r="F42" s="61"/>
      <c r="G42" s="61"/>
      <c r="H42" s="61"/>
      <c r="I42" s="62"/>
      <c r="J42" s="63"/>
      <c r="K42" s="88" t="s">
        <v>134</v>
      </c>
      <c r="L42" s="82">
        <f>IF(L37&gt;0,ROUND(+L40+L41,4),0)</f>
        <v>0</v>
      </c>
      <c r="M42" s="88" t="s">
        <v>134</v>
      </c>
      <c r="N42" s="67">
        <f>IF(N37&gt;0,ROUND(+N40+N41,4),0)</f>
        <v>0</v>
      </c>
      <c r="O42" s="38"/>
    </row>
    <row r="43" spans="1:15" ht="15.75" customHeight="1" thickTop="1">
      <c r="A43" s="37"/>
      <c r="B43" s="37"/>
      <c r="C43" s="68" t="s">
        <v>275</v>
      </c>
      <c r="D43"/>
      <c r="E43"/>
      <c r="F43" s="69"/>
      <c r="G43" s="69"/>
      <c r="H43" s="69"/>
      <c r="I43" s="40"/>
      <c r="J43" s="37"/>
      <c r="K43" s="70"/>
      <c r="L43" s="71"/>
      <c r="M43" s="56"/>
      <c r="N43" s="72"/>
      <c r="O43" s="38"/>
    </row>
    <row r="44" spans="1:15" ht="15.75" customHeight="1">
      <c r="A44" s="37"/>
      <c r="B44" s="37"/>
      <c r="C44" s="56"/>
      <c r="D44" t="s">
        <v>270</v>
      </c>
      <c r="E44"/>
      <c r="F44"/>
      <c r="G44"/>
      <c r="H44"/>
      <c r="I44" s="40"/>
      <c r="J44" s="37"/>
      <c r="K44" s="99"/>
      <c r="L44" s="85">
        <v>600</v>
      </c>
      <c r="M44" s="73"/>
      <c r="N44" s="78">
        <v>600</v>
      </c>
      <c r="O44" s="38"/>
    </row>
    <row r="45" spans="1:15" ht="15.75" customHeight="1">
      <c r="A45" s="37"/>
      <c r="B45" s="37"/>
      <c r="C45" s="56"/>
      <c r="D45" t="s">
        <v>242</v>
      </c>
      <c r="E45"/>
      <c r="F45"/>
      <c r="G45"/>
      <c r="H45"/>
      <c r="I45" s="40"/>
      <c r="J45" s="37"/>
      <c r="K45" s="99" t="s">
        <v>132</v>
      </c>
      <c r="L45" s="77">
        <f>IF('Data Entry'!I29&gt;499.999,IF('Data Entry'!I29&lt;600,'Data Entry'!I29,0),0)</f>
        <v>0</v>
      </c>
      <c r="M45" s="99" t="s">
        <v>132</v>
      </c>
      <c r="N45" s="78">
        <f>IF('Data Entry'!L29&gt;499.999,IF('Data Entry'!L29&lt;600,'Data Entry'!L29,0),0)</f>
        <v>0</v>
      </c>
      <c r="O45" s="38"/>
    </row>
    <row r="46" spans="1:15" ht="15.75" customHeight="1">
      <c r="A46" s="37"/>
      <c r="B46" s="37"/>
      <c r="C46" s="56"/>
      <c r="D46" t="s">
        <v>133</v>
      </c>
      <c r="E46"/>
      <c r="F46"/>
      <c r="G46"/>
      <c r="H46"/>
      <c r="I46" s="40"/>
      <c r="J46" s="37"/>
      <c r="K46" s="99" t="s">
        <v>134</v>
      </c>
      <c r="L46" s="77">
        <f>IF(L45&gt;0,ROUND(+L44-L45,4),0)</f>
        <v>0</v>
      </c>
      <c r="M46" s="99" t="s">
        <v>134</v>
      </c>
      <c r="N46" s="78">
        <f>IF(N45&gt;0,ROUND(+N44-N45,4),0)</f>
        <v>0</v>
      </c>
      <c r="O46" s="38"/>
    </row>
    <row r="47" spans="1:15" ht="15.75" customHeight="1">
      <c r="A47" s="37"/>
      <c r="B47" s="37"/>
      <c r="C47" s="56"/>
      <c r="D47" t="s">
        <v>271</v>
      </c>
      <c r="E47"/>
      <c r="F47"/>
      <c r="G47"/>
      <c r="H47"/>
      <c r="I47" s="40"/>
      <c r="J47" s="37"/>
      <c r="K47" s="99" t="s">
        <v>135</v>
      </c>
      <c r="L47" s="77">
        <v>1.1999999999999999E-3</v>
      </c>
      <c r="M47" s="99" t="s">
        <v>135</v>
      </c>
      <c r="N47" s="78">
        <v>1.2999999999999999E-3</v>
      </c>
      <c r="O47" s="38"/>
    </row>
    <row r="48" spans="1:15" ht="15.75" customHeight="1">
      <c r="A48" s="37"/>
      <c r="B48" s="37"/>
      <c r="C48" s="56"/>
      <c r="D48" t="s">
        <v>272</v>
      </c>
      <c r="E48"/>
      <c r="F48"/>
      <c r="G48"/>
      <c r="H48"/>
      <c r="I48" s="40"/>
      <c r="J48" s="37"/>
      <c r="K48" s="99" t="s">
        <v>134</v>
      </c>
      <c r="L48" s="77">
        <f>IF(L45&gt;0,ROUND(L46*L47,4),0)</f>
        <v>0</v>
      </c>
      <c r="M48" s="99" t="s">
        <v>134</v>
      </c>
      <c r="N48" s="78">
        <f>IF(N45&gt;0,ROUND(N46*N47,4),0)</f>
        <v>0</v>
      </c>
      <c r="O48" s="38"/>
    </row>
    <row r="49" spans="1:31" ht="15.75" customHeight="1">
      <c r="A49" s="37"/>
      <c r="B49" s="37"/>
      <c r="C49" s="56"/>
      <c r="D49" t="s">
        <v>273</v>
      </c>
      <c r="E49"/>
      <c r="F49"/>
      <c r="G49"/>
      <c r="H49"/>
      <c r="I49" s="40"/>
      <c r="J49" s="37"/>
      <c r="K49" s="99" t="s">
        <v>136</v>
      </c>
      <c r="L49" s="77">
        <v>1.1579999999999999</v>
      </c>
      <c r="M49" s="99" t="s">
        <v>136</v>
      </c>
      <c r="N49" s="78">
        <v>1.268</v>
      </c>
      <c r="O49" s="38"/>
    </row>
    <row r="50" spans="1:31" ht="15.75" customHeight="1" thickBot="1">
      <c r="A50" s="37"/>
      <c r="B50" s="37"/>
      <c r="C50" s="60"/>
      <c r="D50" s="61" t="s">
        <v>274</v>
      </c>
      <c r="E50" s="61"/>
      <c r="F50" s="61"/>
      <c r="G50" s="61"/>
      <c r="H50" s="61"/>
      <c r="I50" s="62"/>
      <c r="J50" s="63"/>
      <c r="K50" s="88" t="s">
        <v>134</v>
      </c>
      <c r="L50" s="82">
        <f>IF(L45&gt;0,ROUND(+L48+L49,4),0)</f>
        <v>0</v>
      </c>
      <c r="M50" s="88" t="s">
        <v>134</v>
      </c>
      <c r="N50" s="67">
        <f>IF(N45&gt;0,ROUND(+N48+N49,4),0)</f>
        <v>0</v>
      </c>
      <c r="O50" s="38"/>
    </row>
    <row r="51" spans="1:31" ht="15.75" customHeight="1" thickTop="1">
      <c r="A51" s="37"/>
      <c r="B51" s="37"/>
      <c r="C51" s="68" t="s">
        <v>276</v>
      </c>
      <c r="D51"/>
      <c r="E51"/>
      <c r="F51" s="89"/>
      <c r="G51" s="89"/>
      <c r="H51" s="69"/>
      <c r="I51" s="40"/>
      <c r="J51" s="37"/>
      <c r="K51" s="70"/>
      <c r="L51" s="84"/>
      <c r="M51" s="56"/>
      <c r="N51" s="72"/>
      <c r="O51" s="38"/>
    </row>
    <row r="52" spans="1:31" ht="15.75" customHeight="1" thickBot="1">
      <c r="A52" s="37"/>
      <c r="B52" s="37"/>
      <c r="C52" s="91"/>
      <c r="D52" s="61" t="s">
        <v>274</v>
      </c>
      <c r="E52" s="61"/>
      <c r="F52" s="61"/>
      <c r="G52" s="61"/>
      <c r="H52" s="61"/>
      <c r="I52" s="62"/>
      <c r="J52" s="63"/>
      <c r="K52" s="66"/>
      <c r="L52" s="65">
        <v>1.1579999999999999</v>
      </c>
      <c r="M52" s="100"/>
      <c r="N52" s="67">
        <v>1.268</v>
      </c>
      <c r="O52" s="38"/>
    </row>
    <row r="53" spans="1:31" ht="15.75" customHeight="1" thickTop="1">
      <c r="A53" s="37"/>
      <c r="B53" s="37"/>
      <c r="C53" s="37"/>
      <c r="D53" s="37"/>
      <c r="E53" s="40"/>
      <c r="F53" s="40"/>
      <c r="G53" s="40"/>
      <c r="H53" s="37"/>
      <c r="I53" s="40"/>
      <c r="J53" s="37"/>
      <c r="K53" s="37"/>
      <c r="L53" s="38"/>
      <c r="M53" s="38"/>
      <c r="N53" s="37"/>
      <c r="O53" s="38"/>
    </row>
    <row r="54" spans="1:31" ht="15.75" customHeight="1">
      <c r="A54" s="37"/>
      <c r="B54" s="37"/>
      <c r="C54" s="37"/>
      <c r="D54" s="37"/>
      <c r="E54" s="40"/>
      <c r="F54" s="40"/>
      <c r="G54" s="40"/>
      <c r="H54" s="37"/>
      <c r="I54" s="40"/>
      <c r="J54" s="37"/>
      <c r="K54" s="37"/>
      <c r="L54" s="38"/>
      <c r="M54" s="38"/>
      <c r="N54" s="37"/>
      <c r="O54" s="38"/>
    </row>
    <row r="55" spans="1:31" ht="15.75" customHeight="1">
      <c r="A55" s="37"/>
      <c r="B55" s="37"/>
      <c r="C55" s="37"/>
      <c r="D55" s="37"/>
      <c r="E55" s="40"/>
      <c r="F55" s="40"/>
      <c r="G55" s="40"/>
      <c r="H55" s="37"/>
      <c r="I55" s="40"/>
      <c r="J55" s="37"/>
      <c r="K55" s="37"/>
      <c r="L55" s="38"/>
      <c r="M55" s="38"/>
      <c r="N55" s="37"/>
      <c r="O55" s="38"/>
    </row>
    <row r="56" spans="1:31" ht="15.75" customHeight="1">
      <c r="A56" s="37"/>
      <c r="B56" s="101" t="s">
        <v>454</v>
      </c>
      <c r="C56" s="101"/>
      <c r="D56"/>
      <c r="E56"/>
      <c r="F56"/>
      <c r="G56" s="40"/>
      <c r="H56" s="37"/>
      <c r="I56" s="40"/>
      <c r="J56" s="37"/>
      <c r="K56" s="37"/>
      <c r="L56" s="38"/>
      <c r="M56" s="38"/>
      <c r="N56" s="37"/>
      <c r="O56" s="38"/>
    </row>
    <row r="57" spans="1:31" ht="15.75" customHeight="1">
      <c r="A57" s="37"/>
      <c r="B57" s="102">
        <v>1</v>
      </c>
      <c r="C57" t="s">
        <v>278</v>
      </c>
      <c r="D57"/>
      <c r="E57"/>
      <c r="F57"/>
      <c r="G57" s="40"/>
      <c r="H57" s="37"/>
      <c r="I57" s="40"/>
      <c r="J57" s="37"/>
      <c r="K57" s="37"/>
      <c r="L57" s="103">
        <f>IF('Data Entry'!I20&gt;0,IF('Data Entry'!I20&lt;100,L9,IF('Data Entry'!I20&lt;500,L17,IF('Data Entry'!I20&lt;600,L25,L27))),0)</f>
        <v>0</v>
      </c>
      <c r="M57" s="38"/>
      <c r="N57" s="74">
        <f>IF('Data Entry'!L20&gt;0,IF('Data Entry'!L20&lt;100,N9,IF('Data Entry'!L20&lt;500,N17,IF('Data Entry'!L20&lt;600,N25,N27))),0)</f>
        <v>1.538</v>
      </c>
      <c r="O57" s="38"/>
    </row>
    <row r="58" spans="1:31" ht="15.75" customHeight="1">
      <c r="A58" s="37"/>
      <c r="B58" s="102">
        <v>2</v>
      </c>
      <c r="C58" t="s">
        <v>279</v>
      </c>
      <c r="D58"/>
      <c r="E58"/>
      <c r="F58"/>
      <c r="G58" s="40"/>
      <c r="H58" s="37"/>
      <c r="I58" s="40"/>
      <c r="J58" s="37"/>
      <c r="K58" s="37"/>
      <c r="L58" s="74">
        <f>IF(AND('Data Entry'!I29=0,'Data Entry'!$A$6="X"),1.158,IF('Data Entry'!I29&gt;0,IF('Data Entry'!I29&lt;100,L34,IF('Data Entry'!I29&lt;500,L42,IF('Data Entry'!I29&lt;600,L50,L52))),0))</f>
        <v>0</v>
      </c>
      <c r="M58" s="38"/>
      <c r="N58" s="74">
        <f>IF(AND('Data Entry'!L29=0,'Data Entry'!$A$6="X"),1.268,IF('Data Entry'!L29&gt;0,IF('Data Entry'!L29&lt;100,N34,IF('Data Entry'!L29&lt;500,N42,IF('Data Entry'!L29&lt;600,N50,N52))),0))</f>
        <v>0</v>
      </c>
      <c r="O58" s="38"/>
    </row>
    <row r="59" spans="1:31" ht="15.75" customHeight="1">
      <c r="A59" s="37"/>
      <c r="B59" s="102">
        <v>3</v>
      </c>
      <c r="C59" s="104" t="s">
        <v>467</v>
      </c>
      <c r="D59" s="105"/>
      <c r="E59" s="105"/>
      <c r="F59" s="105"/>
      <c r="G59" s="106"/>
      <c r="H59" s="107"/>
      <c r="I59" s="106"/>
      <c r="J59" s="107"/>
      <c r="K59" s="107"/>
      <c r="L59" s="74">
        <f>IF(StudCntK8CY=0,0,IF(OR('Data Entry'!B8="X",'Data Entry'!B9="X",'Data Entry'!B10="X",'Data Entry'!B11="X"),Calculations!L58,Calculations!L57))</f>
        <v>0</v>
      </c>
      <c r="M59" s="108"/>
      <c r="N59" s="74">
        <f>IF(StudCnt912CY=0,0,IF(OR('Data Entry'!B8="X",'Data Entry'!B9="X",'Data Entry'!B10="X",'Data Entry'!B11="X"),Calculations!N58,Calculations!N57))</f>
        <v>1.538</v>
      </c>
      <c r="O59" s="38"/>
    </row>
    <row r="61" spans="1:31" ht="12.75">
      <c r="A61" s="101"/>
      <c r="C61" s="101"/>
      <c r="D61" s="101"/>
      <c r="E61" s="101"/>
      <c r="F61" s="101"/>
    </row>
    <row r="62" spans="1:31" ht="12.75">
      <c r="A62" s="101"/>
      <c r="B62" s="109" t="s">
        <v>280</v>
      </c>
      <c r="C62" s="101"/>
      <c r="D62" s="101"/>
      <c r="E62" s="101"/>
      <c r="F62" s="101"/>
      <c r="T62" s="451"/>
      <c r="U62" s="451"/>
      <c r="V62" s="451"/>
      <c r="W62" s="451"/>
      <c r="X62" s="451"/>
      <c r="Y62" s="451"/>
      <c r="Z62" s="451"/>
      <c r="AA62" s="451"/>
      <c r="AB62" s="451"/>
      <c r="AC62" s="451"/>
      <c r="AD62" s="451"/>
      <c r="AE62" s="451"/>
    </row>
    <row r="63" spans="1:31" ht="12.75" customHeight="1">
      <c r="B63" s="578" t="s">
        <v>455</v>
      </c>
      <c r="C63" s="578"/>
      <c r="D63" s="578"/>
      <c r="E63" s="578"/>
      <c r="F63" s="578"/>
      <c r="G63" s="578"/>
      <c r="H63" s="578"/>
      <c r="I63" s="578"/>
      <c r="J63" s="578"/>
      <c r="K63" s="578"/>
      <c r="L63" s="578"/>
      <c r="M63" s="578"/>
      <c r="N63" s="578"/>
      <c r="O63" s="578"/>
      <c r="P63" s="111"/>
    </row>
    <row r="64" spans="1:31" ht="12.75" customHeight="1">
      <c r="B64" s="578"/>
      <c r="C64" s="578"/>
      <c r="D64" s="578"/>
      <c r="E64" s="578"/>
      <c r="F64" s="578"/>
      <c r="G64" s="578"/>
      <c r="H64" s="578"/>
      <c r="I64" s="578"/>
      <c r="J64" s="578"/>
      <c r="K64" s="578"/>
      <c r="L64" s="578"/>
      <c r="M64" s="578"/>
      <c r="N64" s="578"/>
      <c r="O64" s="578"/>
      <c r="P64" s="111"/>
    </row>
    <row r="65" spans="1:26" ht="12.75" customHeight="1">
      <c r="B65" s="578"/>
      <c r="C65" s="578"/>
      <c r="D65" s="578"/>
      <c r="E65" s="578"/>
      <c r="F65" s="578"/>
      <c r="G65" s="578"/>
      <c r="H65" s="578"/>
      <c r="I65" s="578"/>
      <c r="J65" s="578"/>
      <c r="K65" s="578"/>
      <c r="L65" s="578"/>
      <c r="M65" s="578"/>
      <c r="N65" s="578"/>
      <c r="O65" s="578"/>
      <c r="P65" s="111"/>
    </row>
    <row r="66" spans="1:26" ht="12.75" customHeight="1">
      <c r="B66" s="578"/>
      <c r="C66" s="578"/>
      <c r="D66" s="578"/>
      <c r="E66" s="578"/>
      <c r="F66" s="578"/>
      <c r="G66" s="578"/>
      <c r="H66" s="578"/>
      <c r="I66" s="578"/>
      <c r="J66" s="578"/>
      <c r="K66" s="578"/>
      <c r="L66" s="578"/>
      <c r="M66" s="578"/>
      <c r="N66" s="578"/>
      <c r="O66" s="578"/>
      <c r="P66" s="111"/>
    </row>
    <row r="67" spans="1:26" ht="12.75" customHeight="1">
      <c r="B67" s="578"/>
      <c r="C67" s="578"/>
      <c r="D67" s="578"/>
      <c r="E67" s="578"/>
      <c r="F67" s="578"/>
      <c r="G67" s="578"/>
      <c r="H67" s="578"/>
      <c r="I67" s="578"/>
      <c r="J67" s="578"/>
      <c r="K67" s="578"/>
      <c r="L67" s="578"/>
      <c r="M67" s="578"/>
      <c r="N67" s="578"/>
      <c r="O67" s="578"/>
      <c r="P67" s="111"/>
    </row>
    <row r="68" spans="1:26" ht="18" customHeight="1">
      <c r="B68" s="578"/>
      <c r="C68" s="578"/>
      <c r="D68" s="578"/>
      <c r="E68" s="578"/>
      <c r="F68" s="578"/>
      <c r="G68" s="578"/>
      <c r="H68" s="578"/>
      <c r="I68" s="578"/>
      <c r="J68" s="578"/>
      <c r="K68" s="578"/>
      <c r="L68" s="578"/>
      <c r="M68" s="578"/>
      <c r="N68" s="578"/>
      <c r="O68" s="578"/>
      <c r="P68" s="111"/>
    </row>
    <row r="69" spans="1:26" ht="12.75" customHeight="1">
      <c r="B69" s="112"/>
      <c r="C69" s="112"/>
      <c r="D69" s="112"/>
      <c r="E69" s="112"/>
      <c r="F69" s="112"/>
      <c r="G69" s="112"/>
      <c r="H69" s="112"/>
      <c r="I69" s="112"/>
      <c r="J69" s="112"/>
      <c r="K69" s="112"/>
      <c r="L69" s="112"/>
      <c r="M69" s="112"/>
      <c r="N69" s="112"/>
      <c r="O69" s="112"/>
      <c r="P69" s="111"/>
    </row>
    <row r="70" spans="1:26" ht="12.75">
      <c r="B70" s="450" t="s">
        <v>244</v>
      </c>
      <c r="C70" s="450"/>
      <c r="D70" s="450"/>
      <c r="E70" s="450"/>
      <c r="F70" s="450"/>
      <c r="G70" s="450"/>
      <c r="H70"/>
      <c r="M70" s="113"/>
      <c r="N70" s="114"/>
      <c r="V70" s="115"/>
      <c r="W70" s="115"/>
      <c r="X70" s="115"/>
      <c r="Y70" s="115"/>
      <c r="Z70" s="115"/>
    </row>
    <row r="71" spans="1:26" ht="12.75" customHeight="1">
      <c r="B71"/>
      <c r="C71"/>
      <c r="D71"/>
      <c r="E71" s="113"/>
      <c r="F71" s="116" t="s">
        <v>138</v>
      </c>
      <c r="G71" s="117" t="s">
        <v>137</v>
      </c>
      <c r="H71" s="118"/>
      <c r="M71" s="113"/>
      <c r="N71" s="114"/>
      <c r="R71" s="113"/>
    </row>
    <row r="72" spans="1:26" ht="12.75">
      <c r="B72" t="s">
        <v>148</v>
      </c>
      <c r="C72"/>
      <c r="D72"/>
      <c r="E72" s="119"/>
      <c r="F72" s="120">
        <f>'Data Entry'!I39*0.06</f>
        <v>0</v>
      </c>
      <c r="G72" s="121">
        <f>'Data Entry'!I38*0.04</f>
        <v>0</v>
      </c>
      <c r="H72" s="122"/>
      <c r="N72" s="123"/>
      <c r="R72" s="119"/>
    </row>
    <row r="73" spans="1:26" ht="12.75" customHeight="1">
      <c r="B73" t="s">
        <v>149</v>
      </c>
      <c r="C73"/>
      <c r="D73"/>
      <c r="E73" s="119"/>
      <c r="F73" s="120">
        <f>'Data Entry'!J39*0.06*0.95</f>
        <v>0</v>
      </c>
      <c r="G73" s="121">
        <f>'Data Entry'!J38*0.04*0.95</f>
        <v>0</v>
      </c>
      <c r="H73" s="122"/>
      <c r="M73" s="113"/>
      <c r="N73" s="114"/>
      <c r="Q73"/>
      <c r="R73" s="119"/>
    </row>
    <row r="74" spans="1:26" ht="12.75" customHeight="1">
      <c r="B74" t="s">
        <v>150</v>
      </c>
      <c r="C74" s="124"/>
      <c r="D74" s="124"/>
      <c r="E74" s="119"/>
      <c r="F74" s="120">
        <f>'Data Entry'!K39*0.06*0.85</f>
        <v>0</v>
      </c>
      <c r="G74" s="121">
        <f>'Data Entry'!K38*0.04*0.85</f>
        <v>0</v>
      </c>
      <c r="H74" s="122"/>
      <c r="I74"/>
      <c r="L74" t="s">
        <v>138</v>
      </c>
      <c r="M74" s="125" t="s">
        <v>0</v>
      </c>
      <c r="N74" s="126">
        <f>'BSA55'!H50*F75</f>
        <v>0</v>
      </c>
      <c r="Q74" s="113"/>
      <c r="R74" s="119"/>
    </row>
    <row r="75" spans="1:26" ht="12.75">
      <c r="B75" t="s">
        <v>80</v>
      </c>
      <c r="C75" s="124"/>
      <c r="D75" s="124"/>
      <c r="E75" s="119"/>
      <c r="F75" s="120">
        <f>SUM(F72:F74)</f>
        <v>0</v>
      </c>
      <c r="G75" s="121">
        <f>SUM(G72:G74)</f>
        <v>0</v>
      </c>
      <c r="H75" s="122"/>
      <c r="I75"/>
      <c r="L75" t="s">
        <v>137</v>
      </c>
      <c r="M75" s="125" t="s">
        <v>0</v>
      </c>
      <c r="N75" s="127">
        <f>'BSA55'!H50*G75</f>
        <v>0</v>
      </c>
      <c r="P75"/>
      <c r="Q75" s="119"/>
      <c r="R75" s="119"/>
    </row>
    <row r="76" spans="1:26" ht="12.75" customHeight="1">
      <c r="B76" s="124"/>
      <c r="C76" s="124"/>
      <c r="D76" s="124"/>
      <c r="E76"/>
      <c r="F76" s="124"/>
      <c r="G76" s="124"/>
      <c r="H76" s="124"/>
      <c r="I76"/>
      <c r="M76" s="113"/>
      <c r="N76" s="114"/>
      <c r="P76"/>
      <c r="Q76" s="119"/>
    </row>
    <row r="77" spans="1:26" ht="12.75" customHeight="1">
      <c r="A77" s="128"/>
      <c r="B77" s="577" t="s">
        <v>151</v>
      </c>
      <c r="C77" s="577"/>
      <c r="D77" s="577"/>
      <c r="E77" s="577"/>
      <c r="F77" s="577"/>
      <c r="G77" s="577"/>
      <c r="H77" s="124"/>
      <c r="I77"/>
      <c r="M77" s="113"/>
      <c r="N77" s="114"/>
      <c r="P77"/>
      <c r="Q77" s="119"/>
    </row>
    <row r="78" spans="1:26" ht="12.75">
      <c r="A78" s="129"/>
      <c r="B78" s="577"/>
      <c r="C78" s="577"/>
      <c r="D78" s="577"/>
      <c r="E78" s="577"/>
      <c r="F78" s="577"/>
      <c r="G78" s="577"/>
      <c r="H78"/>
      <c r="I78"/>
      <c r="M78" s="113"/>
      <c r="N78" s="114"/>
      <c r="P78"/>
      <c r="Q78" s="119"/>
    </row>
    <row r="79" spans="1:26" ht="12.75" customHeight="1">
      <c r="A79" s="129"/>
      <c r="B79" s="129"/>
      <c r="C79" s="129"/>
      <c r="M79" s="130"/>
      <c r="N79" s="131"/>
      <c r="P79" s="497"/>
      <c r="Q79" s="497"/>
      <c r="R79" s="497"/>
    </row>
    <row r="80" spans="1:26" ht="12.75" customHeight="1">
      <c r="A80" s="129"/>
      <c r="B80" s="129"/>
      <c r="C80" s="129"/>
      <c r="D80"/>
      <c r="F80" s="102"/>
      <c r="G80"/>
      <c r="H80"/>
      <c r="I80"/>
      <c r="L80"/>
      <c r="M80" s="113"/>
      <c r="N80" s="133"/>
      <c r="P80" s="497"/>
      <c r="Q80" s="497"/>
      <c r="R80" s="497"/>
    </row>
    <row r="81" spans="1:25" ht="12.75">
      <c r="A81" s="129"/>
      <c r="B81" s="129"/>
      <c r="C81" s="129"/>
      <c r="L81"/>
      <c r="M81" s="113"/>
      <c r="N81" s="133"/>
      <c r="P81" s="132"/>
      <c r="Q81" s="132"/>
      <c r="R81" s="132"/>
    </row>
    <row r="82" spans="1:25" ht="12.75">
      <c r="A82" s="129"/>
      <c r="B82" s="129"/>
      <c r="C82" s="129"/>
      <c r="L82"/>
      <c r="M82" s="113"/>
      <c r="N82" s="131"/>
      <c r="P82" s="132"/>
      <c r="Q82" s="132"/>
      <c r="R82" s="132"/>
    </row>
    <row r="83" spans="1:25" ht="12.75">
      <c r="A83" s="101" t="s">
        <v>264</v>
      </c>
      <c r="B83" s="101"/>
      <c r="C83" s="101"/>
      <c r="D83" s="101"/>
      <c r="E83" s="101"/>
      <c r="F83" s="101"/>
      <c r="G83" s="101"/>
      <c r="H83" s="101"/>
      <c r="I83" s="101"/>
      <c r="J83" s="101"/>
      <c r="K83" s="101"/>
      <c r="L83" s="101"/>
      <c r="N83" s="114"/>
      <c r="W83" s="134"/>
    </row>
    <row r="84" spans="1:25" ht="12.75" customHeight="1">
      <c r="A84" s="576" t="s">
        <v>459</v>
      </c>
      <c r="B84" s="576"/>
      <c r="C84" s="576"/>
      <c r="D84" s="576"/>
      <c r="E84" s="576"/>
      <c r="F84" s="576"/>
      <c r="G84" s="576"/>
      <c r="H84" s="576"/>
      <c r="I84" s="576"/>
      <c r="J84" s="576"/>
      <c r="K84" s="576"/>
      <c r="L84" s="576"/>
      <c r="M84" s="576"/>
      <c r="N84" s="576"/>
      <c r="O84" s="576"/>
      <c r="W84" s="134"/>
    </row>
    <row r="85" spans="1:25" ht="12.75" customHeight="1">
      <c r="A85" s="576"/>
      <c r="B85" s="576"/>
      <c r="C85" s="576"/>
      <c r="D85" s="576"/>
      <c r="E85" s="576"/>
      <c r="F85" s="576"/>
      <c r="G85" s="576"/>
      <c r="H85" s="576"/>
      <c r="I85" s="576"/>
      <c r="J85" s="576"/>
      <c r="K85" s="576"/>
      <c r="L85" s="576"/>
      <c r="M85" s="576"/>
      <c r="N85" s="576"/>
      <c r="O85" s="576"/>
      <c r="W85" s="134"/>
    </row>
    <row r="86" spans="1:25" ht="12.75" customHeight="1">
      <c r="A86" s="576"/>
      <c r="B86" s="576"/>
      <c r="C86" s="576"/>
      <c r="D86" s="576"/>
      <c r="E86" s="576"/>
      <c r="F86" s="576"/>
      <c r="G86" s="576"/>
      <c r="H86" s="576"/>
      <c r="I86" s="576"/>
      <c r="J86" s="576"/>
      <c r="K86" s="576"/>
      <c r="L86" s="576"/>
      <c r="M86" s="576"/>
      <c r="N86" s="576"/>
      <c r="O86" s="576"/>
      <c r="W86" s="134"/>
    </row>
    <row r="87" spans="1:25" ht="12.75" customHeight="1">
      <c r="A87" s="576"/>
      <c r="B87" s="576"/>
      <c r="C87" s="576"/>
      <c r="D87" s="576"/>
      <c r="E87" s="576"/>
      <c r="F87" s="576"/>
      <c r="G87" s="576"/>
      <c r="H87" s="576"/>
      <c r="I87" s="576"/>
      <c r="J87" s="576"/>
      <c r="K87" s="576"/>
      <c r="L87" s="576"/>
      <c r="M87" s="576"/>
      <c r="N87" s="576"/>
      <c r="O87" s="576"/>
      <c r="W87" s="134"/>
    </row>
    <row r="88" spans="1:25" ht="12.75">
      <c r="A88" s="41"/>
      <c r="B88" s="41"/>
      <c r="C88" s="41"/>
      <c r="D88" s="41"/>
      <c r="E88" s="41"/>
      <c r="F88" s="41"/>
      <c r="G88" s="41"/>
      <c r="H88" s="41"/>
      <c r="I88" s="41"/>
      <c r="J88" s="41"/>
      <c r="K88" s="41"/>
      <c r="L88" s="41"/>
      <c r="N88" s="114"/>
      <c r="W88" s="134"/>
    </row>
    <row r="89" spans="1:25" ht="12.75">
      <c r="B89" s="135">
        <v>1</v>
      </c>
      <c r="C89" t="s">
        <v>281</v>
      </c>
      <c r="D89"/>
      <c r="E89"/>
      <c r="F89"/>
      <c r="M89" s="125" t="s">
        <v>0</v>
      </c>
      <c r="N89" s="126">
        <f>75000000*'Data Entry'!N82</f>
        <v>12675</v>
      </c>
      <c r="T89" s="130"/>
      <c r="X89" s="579"/>
      <c r="Y89" s="579"/>
    </row>
    <row r="90" spans="1:25" ht="12.75">
      <c r="B90" s="102"/>
      <c r="C90"/>
      <c r="D90"/>
      <c r="E90"/>
      <c r="F90"/>
      <c r="N90" s="114"/>
    </row>
    <row r="92" spans="1:25" ht="15" customHeight="1">
      <c r="A92" s="101" t="s">
        <v>472</v>
      </c>
      <c r="B92" s="101"/>
      <c r="C92" s="101"/>
      <c r="D92" s="101"/>
      <c r="E92" s="101"/>
      <c r="F92" s="101"/>
      <c r="G92" s="101"/>
      <c r="H92" s="101"/>
      <c r="I92" s="101"/>
      <c r="J92" s="101"/>
      <c r="K92" s="101"/>
      <c r="L92" s="101"/>
      <c r="N92" s="114"/>
    </row>
    <row r="93" spans="1:25" ht="12" customHeight="1">
      <c r="A93" s="576" t="s">
        <v>516</v>
      </c>
      <c r="B93" s="576"/>
      <c r="C93" s="576"/>
      <c r="D93" s="576"/>
      <c r="E93" s="576"/>
      <c r="F93" s="576"/>
      <c r="G93" s="576"/>
      <c r="H93" s="576"/>
      <c r="I93" s="576"/>
      <c r="J93" s="576"/>
      <c r="K93" s="576"/>
      <c r="L93" s="576"/>
      <c r="M93" s="576"/>
      <c r="N93" s="576"/>
      <c r="O93" s="576"/>
    </row>
    <row r="94" spans="1:25" ht="12" customHeight="1">
      <c r="A94" s="576"/>
      <c r="B94" s="576"/>
      <c r="C94" s="576"/>
      <c r="D94" s="576"/>
      <c r="E94" s="576"/>
      <c r="F94" s="576"/>
      <c r="G94" s="576"/>
      <c r="H94" s="576"/>
      <c r="I94" s="576"/>
      <c r="J94" s="576"/>
      <c r="K94" s="576"/>
      <c r="L94" s="576"/>
      <c r="M94" s="576"/>
      <c r="N94" s="576"/>
      <c r="O94" s="576"/>
    </row>
    <row r="95" spans="1:25" ht="12" customHeight="1">
      <c r="A95" s="576"/>
      <c r="B95" s="576"/>
      <c r="C95" s="576"/>
      <c r="D95" s="576"/>
      <c r="E95" s="576"/>
      <c r="F95" s="576"/>
      <c r="G95" s="576"/>
      <c r="H95" s="576"/>
      <c r="I95" s="576"/>
      <c r="J95" s="576"/>
      <c r="K95" s="576"/>
      <c r="L95" s="576"/>
      <c r="M95" s="576"/>
      <c r="N95" s="576"/>
      <c r="O95" s="576"/>
    </row>
    <row r="96" spans="1:25" ht="21" customHeight="1">
      <c r="A96" s="576"/>
      <c r="B96" s="576"/>
      <c r="C96" s="576"/>
      <c r="D96" s="576"/>
      <c r="E96" s="576"/>
      <c r="F96" s="576"/>
      <c r="G96" s="576"/>
      <c r="H96" s="576"/>
      <c r="I96" s="576"/>
      <c r="J96" s="576"/>
      <c r="K96" s="576"/>
      <c r="L96" s="576"/>
      <c r="M96" s="576"/>
      <c r="N96" s="576"/>
      <c r="O96" s="576"/>
    </row>
    <row r="97" spans="1:14" ht="12.75">
      <c r="A97" s="41"/>
      <c r="B97" s="41"/>
      <c r="C97" s="41"/>
      <c r="D97" s="41"/>
      <c r="E97" s="41"/>
      <c r="F97" s="41"/>
      <c r="G97" s="41"/>
      <c r="H97" s="41"/>
      <c r="I97" s="41"/>
      <c r="J97" s="41"/>
      <c r="K97" s="41"/>
      <c r="L97" s="41"/>
      <c r="N97" s="114"/>
    </row>
    <row r="98" spans="1:14" ht="12.75">
      <c r="B98" s="136">
        <v>2</v>
      </c>
      <c r="C98" t="s">
        <v>471</v>
      </c>
      <c r="D98"/>
      <c r="E98"/>
      <c r="F98"/>
      <c r="M98" s="125" t="s">
        <v>0</v>
      </c>
      <c r="N98" s="126">
        <f>300000000*'Data Entry'!N82</f>
        <v>50700</v>
      </c>
    </row>
  </sheetData>
  <sheetProtection sheet="1" formatCells="0" formatColumns="0" formatRows="0"/>
  <mergeCells count="12">
    <mergeCell ref="A93:O96"/>
    <mergeCell ref="B77:G78"/>
    <mergeCell ref="T62:AE62"/>
    <mergeCell ref="B63:O68"/>
    <mergeCell ref="L1:M1"/>
    <mergeCell ref="X89:Y89"/>
    <mergeCell ref="P79:R80"/>
    <mergeCell ref="A1:D1"/>
    <mergeCell ref="E1:G1"/>
    <mergeCell ref="J1:K1"/>
    <mergeCell ref="A84:O87"/>
    <mergeCell ref="B70:G70"/>
  </mergeCells>
  <hyperlinks>
    <hyperlink ref="C31:O31" location="'Data Entry'!B22" display="Table 2 - Charter Holder Total Charter School Counts (only calculated if one or more criteria are checked on the Data Entry Tab)" xr:uid="{00000000-0004-0000-0800-000000000000}"/>
    <hyperlink ref="B57" r:id="rId1" display="IndividualCharterSchoolCounts" xr:uid="{00000000-0004-0000-0800-000001000000}"/>
    <hyperlink ref="B58" r:id="rId2" display="IndividualCharterSchoolCounts" xr:uid="{00000000-0004-0000-0800-000002000000}"/>
    <hyperlink ref="B59" r:id="rId3" display="IndividualCharterSchoolCounts" xr:uid="{00000000-0004-0000-0800-000003000000}"/>
    <hyperlink ref="B89" location="PercentStatewideWeightedStudentCount" display="PercentStatewideWeightedStudentCount" xr:uid="{00000000-0004-0000-0800-000004000000}"/>
    <hyperlink ref="C6:G6" r:id="rId4" display="Table 1 - Individual Charter School Counts " xr:uid="{00000000-0004-0000-0800-000005000000}"/>
    <hyperlink ref="C6:H6" location="'Data Entry'!B13" display="Table 1 - Individual Charter School Counts " xr:uid="{00000000-0004-0000-0800-000006000000}"/>
    <hyperlink ref="C31" location="'Data Entry'!B22" display="Table 2 - Charter Holder Total Charter School Counts (only calculated if one or more criteria are checked on the Data Entry Tab)" xr:uid="{00000000-0004-0000-0800-000007000000}"/>
    <hyperlink ref="B98" location="PercentStatewideWeightedStudentCount" display="PercentStatewideWeightedStudentCount" xr:uid="{00000000-0004-0000-0800-000008000000}"/>
  </hyperlinks>
  <printOptions horizontalCentered="1"/>
  <pageMargins left="0.2" right="0.2" top="0.25" bottom="0.25" header="0.5" footer="0.25"/>
  <pageSetup paperSize="5" scale="66" orientation="portrait" r:id="rId5"/>
  <headerFooter>
    <oddFooter>&amp;L&amp;"Arial,Bold"Rev. 5/23 Arizona Department of Education and Auditor General&amp;R&amp;"Arial,Bold"Calculations</oddFooter>
  </headerFooter>
  <colBreaks count="1" manualBreakCount="1">
    <brk id="15"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588712f8-bc12-4b67-b29b-a9d0f63287e2">
      <Terms xmlns="http://schemas.microsoft.com/office/infopath/2007/PartnerControls"/>
    </lcf76f155ced4ddcb4097134ff3c332f>
    <TaxCatchAll xmlns="d7c5e3bf-8d4c-41de-aaa1-f4451f02d99d"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08054D55F91284EBB1107762FB3C5FA" ma:contentTypeVersion="18" ma:contentTypeDescription="Create a new document." ma:contentTypeScope="" ma:versionID="1410b37f08874c51a2265df9ec3df916">
  <xsd:schema xmlns:xsd="http://www.w3.org/2001/XMLSchema" xmlns:xs="http://www.w3.org/2001/XMLSchema" xmlns:p="http://schemas.microsoft.com/office/2006/metadata/properties" xmlns:ns2="588712f8-bc12-4b67-b29b-a9d0f63287e2" xmlns:ns3="d7c5e3bf-8d4c-41de-aaa1-f4451f02d99d" targetNamespace="http://schemas.microsoft.com/office/2006/metadata/properties" ma:root="true" ma:fieldsID="f07a4edbd74ba1f0092007d492bd3af1" ns2:_="" ns3:_="">
    <xsd:import namespace="588712f8-bc12-4b67-b29b-a9d0f63287e2"/>
    <xsd:import namespace="d7c5e3bf-8d4c-41de-aaa1-f4451f02d99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8712f8-bc12-4b67-b29b-a9d0f63287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01f69ef-746b-49a2-8d0e-3be5031717a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c5e3bf-8d4c-41de-aaa1-f4451f02d99d"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325e49b-7206-461e-b626-dd329b649d2c}" ma:internalName="TaxCatchAll" ma:showField="CatchAllData" ma:web="d7c5e3bf-8d4c-41de-aaa1-f4451f02d99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BB4F38B-0799-4886-B61C-8DBB46B47F73}">
  <ds:schemaRefs>
    <ds:schemaRef ds:uri="http://purl.org/dc/dcmitype/"/>
    <ds:schemaRef ds:uri="http://purl.org/dc/terms/"/>
    <ds:schemaRef ds:uri="http://purl.org/dc/elements/1.1/"/>
    <ds:schemaRef ds:uri="http://schemas.microsoft.com/office/2006/documentManagement/types"/>
    <ds:schemaRef ds:uri="8385876d-3ffd-449d-b709-a8df02b96ae7"/>
    <ds:schemaRef ds:uri="http://www.w3.org/XML/1998/namespace"/>
    <ds:schemaRef ds:uri="http://schemas.microsoft.com/office/infopath/2007/PartnerControls"/>
    <ds:schemaRef ds:uri="http://schemas.openxmlformats.org/package/2006/metadata/core-properties"/>
    <ds:schemaRef ds:uri="ffcdc2e4-c8f2-4bf7-ab1d-ea300bde3fd8"/>
    <ds:schemaRef ds:uri="http://schemas.microsoft.com/office/2006/metadata/properties"/>
    <ds:schemaRef ds:uri="588712f8-bc12-4b67-b29b-a9d0f63287e2"/>
    <ds:schemaRef ds:uri="d7c5e3bf-8d4c-41de-aaa1-f4451f02d99d"/>
  </ds:schemaRefs>
</ds:datastoreItem>
</file>

<file path=customXml/itemProps2.xml><?xml version="1.0" encoding="utf-8"?>
<ds:datastoreItem xmlns:ds="http://schemas.openxmlformats.org/officeDocument/2006/customXml" ds:itemID="{2F2E6AA0-94E8-4026-829C-A24F5E2643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8712f8-bc12-4b67-b29b-a9d0f63287e2"/>
    <ds:schemaRef ds:uri="d7c5e3bf-8d4c-41de-aaa1-f4451f02d9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847F8EF-8AAF-48C9-9DFE-A66AC49D52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11</vt:i4>
      </vt:variant>
      <vt:variant>
        <vt:lpstr>Named Ranges</vt:lpstr>
      </vt:variant>
      <vt:variant>
        <vt:i4>316</vt:i4>
      </vt:variant>
    </vt:vector>
  </HeadingPairs>
  <TitlesOfParts>
    <vt:vector size="327" baseType="lpstr">
      <vt:lpstr>Cover</vt:lpstr>
      <vt:lpstr>Charter Contacts</vt:lpstr>
      <vt:lpstr>Page 1</vt:lpstr>
      <vt:lpstr>Page 2</vt:lpstr>
      <vt:lpstr>Page 3</vt:lpstr>
      <vt:lpstr>Page 4</vt:lpstr>
      <vt:lpstr>Budget Summary</vt:lpstr>
      <vt:lpstr>Data Entry</vt:lpstr>
      <vt:lpstr>Calculations</vt:lpstr>
      <vt:lpstr>BSA55</vt:lpstr>
      <vt:lpstr>Instructions</vt:lpstr>
      <vt:lpstr>_CSP1000</vt:lpstr>
      <vt:lpstr>_CSP2100</vt:lpstr>
      <vt:lpstr>_CSP2200</vt:lpstr>
      <vt:lpstr>_CSP2300</vt:lpstr>
      <vt:lpstr>_CSP3300</vt:lpstr>
      <vt:lpstr>ActAuditExpend</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AOIFTStudCntK3Read</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AOIFTStudCntVI</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AOIPTStudCntK3Read</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AOIPTStudCntVI</vt:lpstr>
      <vt:lpstr>ArizonaIndustryCredentialsIncentives</vt:lpstr>
      <vt:lpstr>AverageSalaryCalculationComment</vt:lpstr>
      <vt:lpstr>AverageTeacherSalaries</vt:lpstr>
      <vt:lpstr>BudgetSummary</vt:lpstr>
      <vt:lpstr>BudgetVersion</vt:lpstr>
      <vt:lpstr>BudgetYearSalary</vt:lpstr>
      <vt:lpstr>CA0181IntangibleAssets</vt:lpstr>
      <vt:lpstr>CA0191Land</vt:lpstr>
      <vt:lpstr>CA0192SiteImprovements</vt:lpstr>
      <vt:lpstr>CA0194Buildings</vt:lpstr>
      <vt:lpstr>CA0196Equipment</vt:lpstr>
      <vt:lpstr>CA0198CIP</vt:lpstr>
      <vt:lpstr>CAK3Reading</vt:lpstr>
      <vt:lpstr>CapitalAcquisitions</vt:lpstr>
      <vt:lpstr>CharterContactInfo</vt:lpstr>
      <vt:lpstr>CharterName</vt:lpstr>
      <vt:lpstr>Check_box_if_the_district_has_been_approved_to_provide_200_days_of_instruction_by_ADE.__A.R.S._Sec._15_902.04</vt:lpstr>
      <vt:lpstr>CIP1072P265F1000</vt:lpstr>
      <vt:lpstr>CIP1072P265F1000PPL</vt:lpstr>
      <vt:lpstr>CIP1072P265F2100</vt:lpstr>
      <vt:lpstr>CIP1072P265F2100PPL</vt:lpstr>
      <vt:lpstr>CIP1072P265F2200</vt:lpstr>
      <vt:lpstr>CIP1072P265F2200PPL</vt:lpstr>
      <vt:lpstr>CIP1072P265F2300</vt:lpstr>
      <vt:lpstr>CIP1072P265F2300PPL</vt:lpstr>
      <vt:lpstr>CIP1072P265F2400</vt:lpstr>
      <vt:lpstr>CIP1072P265F2400PPL</vt:lpstr>
      <vt:lpstr>CIP1072P265F2500</vt:lpstr>
      <vt:lpstr>CIP1072P265F2500PPL</vt:lpstr>
      <vt:lpstr>CIP1072P265F2600</vt:lpstr>
      <vt:lpstr>CIP1072P265F2600PPL</vt:lpstr>
      <vt:lpstr>CIP1072P265F2900</vt:lpstr>
      <vt:lpstr>CIP1072P265F2900PPL</vt:lpstr>
      <vt:lpstr>CIP1072P435F2700</vt:lpstr>
      <vt:lpstr>CIP1072P435F2700PPL</vt:lpstr>
      <vt:lpstr>CollegeCreditExamIncentives</vt:lpstr>
      <vt:lpstr>CoverGen</vt:lpstr>
      <vt:lpstr>CoverGen1</vt:lpstr>
      <vt:lpstr>CSPTotal</vt:lpstr>
      <vt:lpstr>CTD</vt:lpstr>
      <vt:lpstr>CTDSNumber</vt:lpstr>
      <vt:lpstr>DecreaseforFedandStateMonies</vt:lpstr>
      <vt:lpstr>EmployeeBenefits</vt:lpstr>
      <vt:lpstr>EstimatedRevenues</vt:lpstr>
      <vt:lpstr>FederalandStateProjectsTotal</vt:lpstr>
      <vt:lpstr>FP11001130TitleI</vt:lpstr>
      <vt:lpstr>FP11401150TitleII</vt:lpstr>
      <vt:lpstr>FP1160TitleIV</vt:lpstr>
      <vt:lpstr>FP11701180TitleV</vt:lpstr>
      <vt:lpstr>FP1190TitleIII</vt:lpstr>
      <vt:lpstr>FP1200TitleVII</vt:lpstr>
      <vt:lpstr>FP1210TitleVI</vt:lpstr>
      <vt:lpstr>FP1220IDEA</vt:lpstr>
      <vt:lpstr>FP1230Johnson</vt:lpstr>
      <vt:lpstr>FP1240WIA</vt:lpstr>
      <vt:lpstr>FP1250AEA</vt:lpstr>
      <vt:lpstr>FP12601270VocEd</vt:lpstr>
      <vt:lpstr>FP1280TitleX</vt:lpstr>
      <vt:lpstr>FP1290Medicaid</vt:lpstr>
      <vt:lpstr>FP13__ImpactAid</vt:lpstr>
      <vt:lpstr>FP1300Charter</vt:lpstr>
      <vt:lpstr>FP13101399Other</vt:lpstr>
      <vt:lpstr>FP1420ExtendedSchool</vt:lpstr>
      <vt:lpstr>FTEcertified</vt:lpstr>
      <vt:lpstr>FTEcontract</vt:lpstr>
      <vt:lpstr>FTEnoncertified</vt:lpstr>
      <vt:lpstr>FY18Average</vt:lpstr>
      <vt:lpstr>G912SuppLvlWgt0.001to99.999</vt:lpstr>
      <vt:lpstr>G912SuppLvlWgt100.000to499.999</vt:lpstr>
      <vt:lpstr>G912SuppLvlWgt500.000to599.999</vt:lpstr>
      <vt:lpstr>G912SuppLvlWgt600.000Plus</vt:lpstr>
      <vt:lpstr>IEPtransportation</vt:lpstr>
      <vt:lpstr>IIPClassSizeReduction</vt:lpstr>
      <vt:lpstr>IIPDropoutPreventionPrograms</vt:lpstr>
      <vt:lpstr>IIPInstructionalImprovementPrograms</vt:lpstr>
      <vt:lpstr>IIPTeacherCompensationIncreases</vt:lpstr>
      <vt:lpstr>Incr200Days</vt:lpstr>
      <vt:lpstr>IncreaseSinceFY18</vt:lpstr>
      <vt:lpstr>K8SuppLvlWgt0.001to99.999</vt:lpstr>
      <vt:lpstr>K8SuppLvlWgt100.000to499.999</vt:lpstr>
      <vt:lpstr>K8SuppLvlWgt500.000to599.999</vt:lpstr>
      <vt:lpstr>K8SuppLvlWgt600.000Plus</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NonAOIStudCntK3Read</vt:lpstr>
      <vt:lpstr>NonAOIStudCntK8CY</vt:lpstr>
      <vt:lpstr>NonAOIStudCntMDR.AR.SIDR</vt:lpstr>
      <vt:lpstr>NonAOIStudCntMDSC.ASC.SIDSC</vt:lpstr>
      <vt:lpstr>NonAOIStudCntMDSSI</vt:lpstr>
      <vt:lpstr>NonAOIStudCntMOID</vt:lpstr>
      <vt:lpstr>NonAOIStudCntOIR</vt:lpstr>
      <vt:lpstr>NonAOIStudCntOISC</vt:lpstr>
      <vt:lpstr>NonAOIStudCntP.SD</vt:lpstr>
      <vt:lpstr>NonAOIStudCntPSDCY</vt:lpstr>
      <vt:lpstr>NonAOIStudCntVI</vt:lpstr>
      <vt:lpstr>NonFedAuditExp</vt:lpstr>
      <vt:lpstr>OtherStateProjects</vt:lpstr>
      <vt:lpstr>P200CareerEducation</vt:lpstr>
      <vt:lpstr>P200CareerEducationCY</vt:lpstr>
      <vt:lpstr>P200ELLCompensatoryInstruction</vt:lpstr>
      <vt:lpstr>P200ELLCompensatoryInstructionCY</vt:lpstr>
      <vt:lpstr>P200ELLIncrementalCosts</vt:lpstr>
      <vt:lpstr>P200ELLIncrementalCostsCY</vt:lpstr>
      <vt:lpstr>P200GiftedEducation</vt:lpstr>
      <vt:lpstr>P200GiftedEducationCY</vt:lpstr>
      <vt:lpstr>P200RemedialEducation</vt:lpstr>
      <vt:lpstr>P200RemedialEducationCY</vt:lpstr>
      <vt:lpstr>P200VocationalandTechnologicalEd</vt:lpstr>
      <vt:lpstr>P200VocationalandTechnologicalEdCY</vt:lpstr>
      <vt:lpstr>Page3ClassroomSiteProjectsFunc2300</vt:lpstr>
      <vt:lpstr>Page3ClassroomSiteProjectsSubTable</vt:lpstr>
      <vt:lpstr>PercentStatewideWeightedStudentCount</vt:lpstr>
      <vt:lpstr>Pg1EmployeeBenefits</vt:lpstr>
      <vt:lpstr>Pg1General</vt:lpstr>
      <vt:lpstr>Pg1Line37</vt:lpstr>
      <vt:lpstr>Pg1Program550</vt:lpstr>
      <vt:lpstr>Pg2DebtService</vt:lpstr>
      <vt:lpstr>Pg2ExpensesByType</vt:lpstr>
      <vt:lpstr>pg2FTE</vt:lpstr>
      <vt:lpstr>Pg2InstructionalImprovementProj</vt:lpstr>
      <vt:lpstr>Pg2Line1</vt:lpstr>
      <vt:lpstr>Pg2Line9</vt:lpstr>
      <vt:lpstr>Pg2Lines3and4</vt:lpstr>
      <vt:lpstr>Pg2SpecialEd</vt:lpstr>
      <vt:lpstr>Pg2StateEqualAssist</vt:lpstr>
      <vt:lpstr>Pg3ClassroomSiteProj</vt:lpstr>
      <vt:lpstr>Pg4CompensatoryInstructionProj</vt:lpstr>
      <vt:lpstr>Pg4EnglishLanguageLearnerProj</vt:lpstr>
      <vt:lpstr>'Budget Summary'!Print_Area</vt:lpstr>
      <vt:lpstr>Calculations!Print_Area</vt:lpstr>
      <vt:lpstr>'Charter Contacts'!Print_Area</vt:lpstr>
      <vt:lpstr>Cover!Print_Area</vt:lpstr>
      <vt:lpstr>'Data Entry'!Print_Area</vt:lpstr>
      <vt:lpstr>Instructions!Print_Area</vt:lpstr>
      <vt:lpstr>'Page 1'!Print_Area</vt:lpstr>
      <vt:lpstr>'Page 2'!Print_Area</vt:lpstr>
      <vt:lpstr>'Page 4'!Print_Area</vt:lpstr>
      <vt:lpstr>Print_Area</vt:lpstr>
      <vt:lpstr>Instructions!Print_Titles</vt:lpstr>
      <vt:lpstr>PriorYearSalary</vt:lpstr>
      <vt:lpstr>RemoteTimeAdjustment</vt:lpstr>
      <vt:lpstr>SalaryIncreaseFromPriorYear</vt:lpstr>
      <vt:lpstr>SalaryPercentageIncrease</vt:lpstr>
      <vt:lpstr>SEIP1071P260F1000</vt:lpstr>
      <vt:lpstr>SEIP1071P260F1000PPL</vt:lpstr>
      <vt:lpstr>SEIP1071P260F2100</vt:lpstr>
      <vt:lpstr>SEIP1071P260F2100PPL</vt:lpstr>
      <vt:lpstr>SEIP1071P260F2200</vt:lpstr>
      <vt:lpstr>SEIP1071P260F2200PPL</vt:lpstr>
      <vt:lpstr>SEIP1071P260F2300</vt:lpstr>
      <vt:lpstr>SEIP1071P260F2300PPL</vt:lpstr>
      <vt:lpstr>SEIP1071P260F2400</vt:lpstr>
      <vt:lpstr>SEIP1071P260F2400PPL</vt:lpstr>
      <vt:lpstr>SEIP1071P260F2500</vt:lpstr>
      <vt:lpstr>SEIP1071P260F2500PPL</vt:lpstr>
      <vt:lpstr>SEIP1071P260F2600</vt:lpstr>
      <vt:lpstr>SEIP1071P260F2600PPL</vt:lpstr>
      <vt:lpstr>SEIP1071P260F2900</vt:lpstr>
      <vt:lpstr>SEIP1071P260F2900PPL</vt:lpstr>
      <vt:lpstr>SEIP1071P430F2700</vt:lpstr>
      <vt:lpstr>SEIP1071P430F2700PPL</vt:lpstr>
      <vt:lpstr>SP1000ClassSiteProj</vt:lpstr>
      <vt:lpstr>SP1000ClassSiteProjCY</vt:lpstr>
      <vt:lpstr>SP1000CompInstrProj</vt:lpstr>
      <vt:lpstr>SP1000CompInstrProjCY</vt:lpstr>
      <vt:lpstr>SP1000FedStProj</vt:lpstr>
      <vt:lpstr>SP1000FedStProjCY</vt:lpstr>
      <vt:lpstr>SP1000InstrImpProj</vt:lpstr>
      <vt:lpstr>SP1000InstrImpProjCY</vt:lpstr>
      <vt:lpstr>SP1000P100F1000</vt:lpstr>
      <vt:lpstr>SP1000P100F1000CY</vt:lpstr>
      <vt:lpstr>SP1000P100F2100</vt:lpstr>
      <vt:lpstr>SP1000P100F2100CY</vt:lpstr>
      <vt:lpstr>SP1000P100F2200</vt:lpstr>
      <vt:lpstr>SP1000P100F2200CY</vt:lpstr>
      <vt:lpstr>SP1000P100F2300</vt:lpstr>
      <vt:lpstr>SP1000P100F2300CY</vt:lpstr>
      <vt:lpstr>SP1000P100F2400</vt:lpstr>
      <vt:lpstr>SP1000P100F2400CY</vt:lpstr>
      <vt:lpstr>SP1000P100F2500</vt:lpstr>
      <vt:lpstr>SP1000P100F2500CY</vt:lpstr>
      <vt:lpstr>SP1000P100F2600</vt:lpstr>
      <vt:lpstr>SP1000P100F2600CY</vt:lpstr>
      <vt:lpstr>SP1000P100F2900</vt:lpstr>
      <vt:lpstr>SP1000P100F2900CY</vt:lpstr>
      <vt:lpstr>SP1000P100F3000</vt:lpstr>
      <vt:lpstr>SP1000P100F3000CY</vt:lpstr>
      <vt:lpstr>SP1000P100F4000</vt:lpstr>
      <vt:lpstr>SP1000P100F4000CY</vt:lpstr>
      <vt:lpstr>SP1000P100F5000</vt:lpstr>
      <vt:lpstr>SP1000P100F5000CY</vt:lpstr>
      <vt:lpstr>SP1000P200F1000</vt:lpstr>
      <vt:lpstr>SP1000P200F1000CY</vt:lpstr>
      <vt:lpstr>SP1000P200F2100</vt:lpstr>
      <vt:lpstr>SP1000P200F2100CY</vt:lpstr>
      <vt:lpstr>SP1000P200F2200</vt:lpstr>
      <vt:lpstr>SP1000P200F2200CY</vt:lpstr>
      <vt:lpstr>SP1000P200F2300</vt:lpstr>
      <vt:lpstr>SP1000P200F2300CY</vt:lpstr>
      <vt:lpstr>SP1000P200F2400</vt:lpstr>
      <vt:lpstr>SP1000P200F2400CY</vt:lpstr>
      <vt:lpstr>SP1000P200F2500</vt:lpstr>
      <vt:lpstr>SP1000P200F2500CY</vt:lpstr>
      <vt:lpstr>SP1000P200F2600</vt:lpstr>
      <vt:lpstr>SP1000P200F2600CY</vt:lpstr>
      <vt:lpstr>SP1000P200F2900</vt:lpstr>
      <vt:lpstr>SP1000P200F2900CY</vt:lpstr>
      <vt:lpstr>SP1000P200F3000</vt:lpstr>
      <vt:lpstr>SP1000P200F3000CY</vt:lpstr>
      <vt:lpstr>SP1000P200F4000</vt:lpstr>
      <vt:lpstr>SP1000P200F4000CY</vt:lpstr>
      <vt:lpstr>SP1000P200F5000</vt:lpstr>
      <vt:lpstr>SP1000P200F5000CY</vt:lpstr>
      <vt:lpstr>SP1000P400</vt:lpstr>
      <vt:lpstr>SP1000P400CY</vt:lpstr>
      <vt:lpstr>SP1000P530</vt:lpstr>
      <vt:lpstr>SP1000P530CY</vt:lpstr>
      <vt:lpstr>SP1000P540</vt:lpstr>
      <vt:lpstr>SP1000P540CY</vt:lpstr>
      <vt:lpstr>SP1000P550</vt:lpstr>
      <vt:lpstr>SP1000P550CY</vt:lpstr>
      <vt:lpstr>SP1000P610</vt:lpstr>
      <vt:lpstr>SP1000P610CY</vt:lpstr>
      <vt:lpstr>SP1000P620</vt:lpstr>
      <vt:lpstr>SP1000P620CY</vt:lpstr>
      <vt:lpstr>SP1000P630700800900</vt:lpstr>
      <vt:lpstr>SP1000P630700800900CY</vt:lpstr>
      <vt:lpstr>SP1000StruEngImmProj</vt:lpstr>
      <vt:lpstr>SP1000StruEngImmProjCY</vt:lpstr>
      <vt:lpstr>SP1000Total</vt:lpstr>
      <vt:lpstr>SP1000TotalCY</vt:lpstr>
      <vt:lpstr>SP1400VocEd</vt:lpstr>
      <vt:lpstr>SP1410EarlyChildhoodBlockGrant</vt:lpstr>
      <vt:lpstr>SP1425AdultBasicEd</vt:lpstr>
      <vt:lpstr>SP1430ChemicalAbuse</vt:lpstr>
      <vt:lpstr>SP1435AcademicContests</vt:lpstr>
      <vt:lpstr>SP1450GiftedEd</vt:lpstr>
      <vt:lpstr>SP1460EnvironmentalSpecialPlate</vt:lpstr>
      <vt:lpstr>SP1465CharterSchool</vt:lpstr>
      <vt:lpstr>SP14701499Other</vt:lpstr>
      <vt:lpstr>StudCnt912CY</vt:lpstr>
      <vt:lpstr>StudCntK8CY</vt:lpstr>
      <vt:lpstr>Total_Student_Count</vt:lpstr>
      <vt:lpstr>TotalCapitalAcquisitions</vt:lpstr>
      <vt:lpstr>TotalCapitalAcquisitionsCY</vt:lpstr>
      <vt:lpstr>TotalCIP</vt:lpstr>
      <vt:lpstr>TotalCIP6100</vt:lpstr>
      <vt:lpstr>TotalCIP6200</vt:lpstr>
      <vt:lpstr>TotalCIP630064006500</vt:lpstr>
      <vt:lpstr>TotalCIP6600</vt:lpstr>
      <vt:lpstr>TotalCIP6800</vt:lpstr>
      <vt:lpstr>TotalCSP6100</vt:lpstr>
      <vt:lpstr>TotalCSP6200</vt:lpstr>
      <vt:lpstr>TotalCSP630064006500</vt:lpstr>
      <vt:lpstr>TotalCSP6600</vt:lpstr>
      <vt:lpstr>TotalFederalAndStateProjects</vt:lpstr>
      <vt:lpstr>TotalFederalProjects</vt:lpstr>
      <vt:lpstr>TotalFederalProjectsCY</vt:lpstr>
      <vt:lpstr>TotalInstructionalImprovement</vt:lpstr>
      <vt:lpstr>TotalSEIP</vt:lpstr>
      <vt:lpstr>TotalSEIP6100</vt:lpstr>
      <vt:lpstr>TotalSEIP6200</vt:lpstr>
      <vt:lpstr>TotalSEIP630064006500</vt:lpstr>
      <vt:lpstr>TotalSEIP6600</vt:lpstr>
      <vt:lpstr>TotalSEIP6800</vt:lpstr>
      <vt:lpstr>TotalStateProjects</vt:lpstr>
      <vt:lpstr>TotalStateProjectsCY</vt:lpstr>
      <vt:lpstr>Version</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Annual Budget Forms-Schoolwide</dc:title>
  <dc:subject/>
  <dc:creator>Office of the Auditor General</dc:creator>
  <cp:keywords/>
  <dc:description/>
  <cp:lastModifiedBy>Shelby Gonzales</cp:lastModifiedBy>
  <cp:lastPrinted>2023-05-25T16:47:30Z</cp:lastPrinted>
  <dcterms:created xsi:type="dcterms:W3CDTF">1997-10-08T02:25:08Z</dcterms:created>
  <dcterms:modified xsi:type="dcterms:W3CDTF">2024-05-14T15:33:48Z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2024</vt:lpwstr>
  </property>
  <property fmtid="{D5CDD505-2E9C-101B-9397-08002B2CF9AE}" pid="3" name="BudgetTypeID">
    <vt:lpwstr>7</vt:lpwstr>
  </property>
  <property fmtid="{D5CDD505-2E9C-101B-9397-08002B2CF9AE}" pid="4" name="SchoolBySchool">
    <vt:lpwstr>0</vt:lpwstr>
  </property>
  <property fmtid="{D5CDD505-2E9C-101B-9397-08002B2CF9AE}" pid="5" name="Password">
    <vt:lpwstr>040114</vt:lpwstr>
  </property>
  <property fmtid="{D5CDD505-2E9C-101B-9397-08002B2CF9AE}" pid="6" name="ContentTypeId">
    <vt:lpwstr>0x010100508054D55F91284EBB1107762FB3C5FA</vt:lpwstr>
  </property>
  <property fmtid="{D5CDD505-2E9C-101B-9397-08002B2CF9AE}" pid="7" name="ADEGUID">
    <vt:lpwstr>a2caf175-d5c0-427f-9e6f-67dc764e2782</vt:lpwstr>
  </property>
  <property fmtid="{D5CDD505-2E9C-101B-9397-08002B2CF9AE}" pid="8" name="MediaServiceImageTags">
    <vt:lpwstr/>
  </property>
</Properties>
</file>